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R lopez\Downloads\"/>
    </mc:Choice>
  </mc:AlternateContent>
  <xr:revisionPtr revIDLastSave="0" documentId="13_ncr:1_{127D52FE-3B7D-465B-B5DC-ABDC40E9F13E}" xr6:coauthVersionLast="47" xr6:coauthVersionMax="47" xr10:uidLastSave="{00000000-0000-0000-0000-000000000000}"/>
  <bookViews>
    <workbookView xWindow="-108" yWindow="-108" windowWidth="23256" windowHeight="12576" firstSheet="1" activeTab="5" xr2:uid="{3F18E812-83BA-4827-8FAE-B8F5A6DD8A5D}"/>
  </bookViews>
  <sheets>
    <sheet name="flujo pagos" sheetId="1" r:id="rId1"/>
    <sheet name="creditos por cancelar" sheetId="5" r:id="rId2"/>
    <sheet name="ingresos PN" sheetId="3" r:id="rId3"/>
    <sheet name="interes 4,5" sheetId="2" r:id="rId4"/>
    <sheet name="flujo comprometido para inversi" sheetId="4" r:id="rId5"/>
    <sheet name="Cuadro Flujo de Caja" sheetId="6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8" i="6" l="1"/>
  <c r="E19" i="6"/>
  <c r="E20" i="6"/>
  <c r="E21" i="6"/>
  <c r="E22" i="6"/>
  <c r="E17" i="6"/>
  <c r="D19" i="2"/>
  <c r="K19" i="2"/>
  <c r="K21" i="2"/>
  <c r="D12" i="2"/>
  <c r="D10" i="2"/>
  <c r="D1" i="2"/>
  <c r="B2" i="2"/>
  <c r="K12" i="6"/>
  <c r="M5" i="6"/>
  <c r="M9" i="6"/>
  <c r="M10" i="6"/>
  <c r="E10" i="2"/>
  <c r="L11" i="6"/>
  <c r="L12" i="6" s="1"/>
  <c r="J8" i="6"/>
  <c r="J12" i="6" s="1"/>
  <c r="I8" i="6"/>
  <c r="H7" i="6"/>
  <c r="H12" i="6" s="1"/>
  <c r="G7" i="6"/>
  <c r="F6" i="6"/>
  <c r="F12" i="6" s="1"/>
  <c r="E6" i="6"/>
  <c r="E12" i="6" s="1"/>
  <c r="M8" i="6" l="1"/>
  <c r="M7" i="6"/>
  <c r="G12" i="6"/>
  <c r="M11" i="6"/>
  <c r="I12" i="6"/>
  <c r="M6" i="6"/>
  <c r="D11" i="3"/>
  <c r="D11" i="1"/>
  <c r="D12" i="1"/>
  <c r="B5" i="4"/>
  <c r="E5" i="4" s="1"/>
  <c r="E13" i="1"/>
  <c r="E14" i="1"/>
  <c r="E15" i="1"/>
  <c r="E16" i="1"/>
  <c r="D5" i="4"/>
  <c r="D17" i="1"/>
  <c r="D18" i="1"/>
  <c r="B6" i="4"/>
  <c r="E6" i="4" s="1"/>
  <c r="E19" i="1"/>
  <c r="E20" i="1"/>
  <c r="E21" i="1"/>
  <c r="E22" i="1"/>
  <c r="D6" i="4"/>
  <c r="D23" i="1"/>
  <c r="D24" i="1"/>
  <c r="B7" i="4"/>
  <c r="E7" i="4" s="1"/>
  <c r="E25" i="1"/>
  <c r="E26" i="1"/>
  <c r="E27" i="1"/>
  <c r="E28" i="1"/>
  <c r="D7" i="4"/>
  <c r="D29" i="1"/>
  <c r="B8" i="4"/>
  <c r="E30" i="1"/>
  <c r="E31" i="1"/>
  <c r="E32" i="1"/>
  <c r="F18" i="2"/>
  <c r="F19" i="2" s="1"/>
  <c r="G18" i="2"/>
  <c r="H18" i="2" s="1"/>
  <c r="H19" i="2" s="1"/>
  <c r="G19" i="2"/>
  <c r="K15" i="2"/>
  <c r="E18" i="2"/>
  <c r="B18" i="2"/>
  <c r="E19" i="2"/>
  <c r="B9" i="2"/>
  <c r="C9" i="2"/>
  <c r="E9" i="2"/>
  <c r="F9" i="2"/>
  <c r="F10" i="2"/>
  <c r="G9" i="2"/>
  <c r="G10" i="2"/>
  <c r="H9" i="2"/>
  <c r="H10" i="2"/>
  <c r="K10" i="2"/>
  <c r="C18" i="2"/>
  <c r="B12" i="2"/>
  <c r="B13" i="2"/>
  <c r="C12" i="2"/>
  <c r="B9" i="5"/>
  <c r="E12" i="2"/>
  <c r="F12" i="2"/>
  <c r="G12" i="2"/>
  <c r="H12" i="2"/>
  <c r="K12" i="2"/>
  <c r="B10" i="5"/>
  <c r="D8" i="3"/>
  <c r="D9" i="3"/>
  <c r="D10" i="3"/>
  <c r="D12" i="3"/>
  <c r="D13" i="3"/>
  <c r="D14" i="3"/>
  <c r="C13" i="3"/>
  <c r="C12" i="3"/>
  <c r="C7" i="2"/>
  <c r="E1" i="2"/>
  <c r="M12" i="6" l="1"/>
  <c r="E34" i="1"/>
  <c r="B11" i="5"/>
  <c r="E33" i="1"/>
  <c r="D8" i="4" s="1"/>
  <c r="E8" i="4" s="1"/>
  <c r="I6" i="4" l="1"/>
  <c r="F8" i="4"/>
  <c r="I8" i="4" s="1"/>
  <c r="G7" i="4" l="1"/>
  <c r="H7" i="4" s="1"/>
  <c r="G6" i="4"/>
  <c r="H6" i="4" s="1"/>
  <c r="G5" i="4"/>
  <c r="H5" i="4" s="1"/>
  <c r="G8" i="4"/>
  <c r="H8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EQUIPO</author>
  </authors>
  <commentList>
    <comment ref="F4" authorId="0" shapeId="0" xr:uid="{763C9749-B0FA-46F9-A2D4-034FC5B2A06B}">
      <text>
        <r>
          <rPr>
            <b/>
            <sz val="9"/>
            <color indexed="81"/>
            <rFont val="Tahoma"/>
            <family val="2"/>
          </rPr>
          <t>EQUIPO:</t>
        </r>
        <r>
          <rPr>
            <sz val="9"/>
            <color indexed="81"/>
            <rFont val="Tahoma"/>
            <family val="2"/>
          </rPr>
          <t xml:space="preserve">
este monto se destina para comprometerlo anticipadamente con el fin de hacer las inversiones necesarias e indispensables de los inmuebles</t>
        </r>
      </text>
    </comment>
  </commentList>
</comments>
</file>

<file path=xl/sharedStrings.xml><?xml version="1.0" encoding="utf-8"?>
<sst xmlns="http://schemas.openxmlformats.org/spreadsheetml/2006/main" count="107" uniqueCount="93">
  <si>
    <t>año</t>
  </si>
  <si>
    <t>inicio pagos de creditos de primera clase</t>
  </si>
  <si>
    <t>inicio pagos de creditos de tercera clase</t>
  </si>
  <si>
    <t>inicio pagos de creditos de quinta clase</t>
  </si>
  <si>
    <t>empresa con capital de trabajo</t>
  </si>
  <si>
    <t xml:space="preserve">FLUJO DE CAJA DE ACUERDO A LO CONTEMPLADO </t>
  </si>
  <si>
    <t>EN EL PLAN DE NEGOCIOS PRESENTADO</t>
  </si>
  <si>
    <t>ANTE LA SUPERINTENDENCIA</t>
  </si>
  <si>
    <t xml:space="preserve">pasivos según </t>
  </si>
  <si>
    <t>prelacion respectiva</t>
  </si>
  <si>
    <t>utilidad neta</t>
  </si>
  <si>
    <t>amortizacion deuda</t>
  </si>
  <si>
    <t>comportamiento</t>
  </si>
  <si>
    <t>del abono a deuda</t>
  </si>
  <si>
    <t>descripcion del pago</t>
  </si>
  <si>
    <t>año por año</t>
  </si>
  <si>
    <t>inicio pago de postergados de primera</t>
  </si>
  <si>
    <t>inicio pago de postegados de tercera</t>
  </si>
  <si>
    <t>inicio pago de postergados de quinta</t>
  </si>
  <si>
    <t>inicio</t>
  </si>
  <si>
    <t>P gracia</t>
  </si>
  <si>
    <t>cuota 1 primera clase</t>
  </si>
  <si>
    <t>cuota 2 primera clase</t>
  </si>
  <si>
    <t>cuota 3 primera clase</t>
  </si>
  <si>
    <t>cuota 4 primera clase</t>
  </si>
  <si>
    <t>ingresos</t>
  </si>
  <si>
    <t>cuota 1 tercera clase</t>
  </si>
  <si>
    <t>cuota 2 tercera clase</t>
  </si>
  <si>
    <t>cuota 3 tercera clase</t>
  </si>
  <si>
    <t>cuota 4 tercera clase</t>
  </si>
  <si>
    <t>cuota 1 quinta clase</t>
  </si>
  <si>
    <t>cuota 2 quinta clase</t>
  </si>
  <si>
    <t>cuota 3 quinta clase</t>
  </si>
  <si>
    <t>cuota 4 quinta clase</t>
  </si>
  <si>
    <t>ingresos 25-26</t>
  </si>
  <si>
    <t>pagos 25-26</t>
  </si>
  <si>
    <t>SOBRANTE</t>
  </si>
  <si>
    <t>ingresos 27-28</t>
  </si>
  <si>
    <t>pagos 27-28</t>
  </si>
  <si>
    <t>ingresos 29-30</t>
  </si>
  <si>
    <t>inicio intereses</t>
  </si>
  <si>
    <t>juanita</t>
  </si>
  <si>
    <t>capital</t>
  </si>
  <si>
    <t xml:space="preserve">interes </t>
  </si>
  <si>
    <t>postegado</t>
  </si>
  <si>
    <t xml:space="preserve">despues de </t>
  </si>
  <si>
    <t>pago</t>
  </si>
  <si>
    <t>luego</t>
  </si>
  <si>
    <t>v/mesadas</t>
  </si>
  <si>
    <t>hernan G</t>
  </si>
  <si>
    <t>PLAN DE PAGOS ACUERDO NEVAGRO SAS 2022/10</t>
  </si>
  <si>
    <t>DESCRIPCION</t>
  </si>
  <si>
    <t>FECHA</t>
  </si>
  <si>
    <t>AÑO</t>
  </si>
  <si>
    <t>ingreso segun año proyectado</t>
  </si>
  <si>
    <t>pago/pasivo</t>
  </si>
  <si>
    <t>P/ años</t>
  </si>
  <si>
    <t>TOTALES</t>
  </si>
  <si>
    <t>publicos</t>
  </si>
  <si>
    <t>postergados publicos</t>
  </si>
  <si>
    <t>inversion finca</t>
  </si>
  <si>
    <t>creditos de primera clase</t>
  </si>
  <si>
    <t>creditos de tercera clase</t>
  </si>
  <si>
    <t>creditos de quinta clase</t>
  </si>
  <si>
    <t>postergados de primera clase</t>
  </si>
  <si>
    <t>postergados de quinta clase</t>
  </si>
  <si>
    <t>quinta clase</t>
  </si>
  <si>
    <t>postergados hipotecarios</t>
  </si>
  <si>
    <t>postergados quirografarios</t>
  </si>
  <si>
    <t>ingresos 30-31</t>
  </si>
  <si>
    <t>pagos 31-32</t>
  </si>
  <si>
    <t>pagos 29-30</t>
  </si>
  <si>
    <t>ingreso respectivo</t>
  </si>
  <si>
    <t>pagos realizados</t>
  </si>
  <si>
    <t>postergados de tercera clase</t>
  </si>
  <si>
    <t>Periodo de Gracia</t>
  </si>
  <si>
    <t>Ingresos</t>
  </si>
  <si>
    <t>Primera clase</t>
  </si>
  <si>
    <t>Tercera clase</t>
  </si>
  <si>
    <t>Quinta clase</t>
  </si>
  <si>
    <t>Postergado Publico</t>
  </si>
  <si>
    <t>Postergados Hipotecarios</t>
  </si>
  <si>
    <t>Postergados Quirografarios</t>
  </si>
  <si>
    <t>Total Flujo</t>
  </si>
  <si>
    <t>Total Anual</t>
  </si>
  <si>
    <t>Rubros</t>
  </si>
  <si>
    <t>postergados primera clase</t>
  </si>
  <si>
    <t>postergados tercera clase</t>
  </si>
  <si>
    <t>postergados quinta clase</t>
  </si>
  <si>
    <t>Montos totales con pagadero en dos partes iguales semestralmente. Fechas indicadas encima de los años de pago.</t>
  </si>
  <si>
    <t>Total de cada deuda clasificada</t>
  </si>
  <si>
    <t>No Cuotas</t>
  </si>
  <si>
    <t>Valor Cuota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</si>
</sst>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-&quot;$&quot;\ * #,##0_-;\-&quot;$&quot;\ * #,##0_-;_-&quot;$&quot;\ * &quot;-&quot;_-;_-@_-"/>
    <numFmt numFmtId="41" formatCode="_-* #,##0_-;\-* #,##0_-;_-* &quot;-&quot;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name val="Arial Narrow"/>
      <family val="2"/>
    </font>
    <font>
      <i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29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dashed">
        <color indexed="64"/>
      </right>
      <top style="double">
        <color indexed="64"/>
      </top>
      <bottom/>
      <diagonal/>
    </border>
    <border>
      <left/>
      <right style="dashed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ashed">
        <color indexed="64"/>
      </left>
      <right style="thin">
        <color indexed="64"/>
      </right>
      <top/>
      <bottom/>
      <diagonal/>
    </border>
    <border>
      <left style="dashed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3">
    <xf numFmtId="0" fontId="0" fillId="0" borderId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</cellStyleXfs>
  <cellXfs count="58">
    <xf numFmtId="0" fontId="0" fillId="0" borderId="0" xfId="0"/>
    <xf numFmtId="41" fontId="0" fillId="0" borderId="0" xfId="1" applyFont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41" fontId="0" fillId="0" borderId="0" xfId="0" applyNumberFormat="1"/>
    <xf numFmtId="41" fontId="0" fillId="2" borderId="0" xfId="1" applyFont="1" applyFill="1"/>
    <xf numFmtId="0" fontId="2" fillId="0" borderId="0" xfId="0" applyFont="1" applyAlignment="1">
      <alignment horizontal="center"/>
    </xf>
    <xf numFmtId="41" fontId="0" fillId="3" borderId="0" xfId="1" applyFont="1" applyFill="1"/>
    <xf numFmtId="41" fontId="0" fillId="4" borderId="0" xfId="1" applyFont="1" applyFill="1"/>
    <xf numFmtId="41" fontId="0" fillId="5" borderId="0" xfId="1" applyFont="1" applyFill="1"/>
    <xf numFmtId="17" fontId="0" fillId="0" borderId="0" xfId="0" applyNumberFormat="1"/>
    <xf numFmtId="14" fontId="0" fillId="0" borderId="0" xfId="0" applyNumberFormat="1"/>
    <xf numFmtId="42" fontId="0" fillId="0" borderId="0" xfId="2" applyFont="1"/>
    <xf numFmtId="0" fontId="2" fillId="0" borderId="0" xfId="0" applyFont="1"/>
    <xf numFmtId="41" fontId="5" fillId="0" borderId="0" xfId="1" applyFont="1"/>
    <xf numFmtId="0" fontId="0" fillId="0" borderId="2" xfId="0" applyBorder="1"/>
    <xf numFmtId="0" fontId="0" fillId="0" borderId="3" xfId="0" applyBorder="1"/>
    <xf numFmtId="0" fontId="0" fillId="0" borderId="10" xfId="0" applyBorder="1"/>
    <xf numFmtId="0" fontId="0" fillId="6" borderId="3" xfId="0" applyFill="1" applyBorder="1"/>
    <xf numFmtId="0" fontId="0" fillId="6" borderId="7" xfId="0" applyFill="1" applyBorder="1"/>
    <xf numFmtId="0" fontId="0" fillId="6" borderId="8" xfId="0" applyFill="1" applyBorder="1"/>
    <xf numFmtId="17" fontId="0" fillId="6" borderId="9" xfId="0" applyNumberFormat="1" applyFill="1" applyBorder="1"/>
    <xf numFmtId="0" fontId="0" fillId="6" borderId="0" xfId="0" applyFill="1"/>
    <xf numFmtId="0" fontId="0" fillId="6" borderId="1" xfId="0" applyFill="1" applyBorder="1"/>
    <xf numFmtId="17" fontId="0" fillId="6" borderId="8" xfId="0" applyNumberFormat="1" applyFill="1" applyBorder="1"/>
    <xf numFmtId="0" fontId="0" fillId="0" borderId="14" xfId="0" applyBorder="1"/>
    <xf numFmtId="0" fontId="0" fillId="7" borderId="15" xfId="0" applyFill="1" applyBorder="1"/>
    <xf numFmtId="0" fontId="0" fillId="0" borderId="16" xfId="0" applyBorder="1"/>
    <xf numFmtId="0" fontId="0" fillId="0" borderId="17" xfId="0" applyBorder="1"/>
    <xf numFmtId="0" fontId="0" fillId="0" borderId="0" xfId="0" applyBorder="1"/>
    <xf numFmtId="42" fontId="0" fillId="7" borderId="2" xfId="2" applyFont="1" applyFill="1" applyBorder="1"/>
    <xf numFmtId="42" fontId="0" fillId="7" borderId="11" xfId="2" applyFont="1" applyFill="1" applyBorder="1"/>
    <xf numFmtId="42" fontId="0" fillId="0" borderId="12" xfId="2" applyFont="1" applyBorder="1"/>
    <xf numFmtId="42" fontId="0" fillId="0" borderId="1" xfId="2" applyFont="1" applyBorder="1"/>
    <xf numFmtId="42" fontId="0" fillId="7" borderId="13" xfId="2" applyFont="1" applyFill="1" applyBorder="1"/>
    <xf numFmtId="0" fontId="2" fillId="0" borderId="0" xfId="0" applyFont="1" applyAlignment="1">
      <alignment horizontal="center"/>
    </xf>
    <xf numFmtId="42" fontId="0" fillId="0" borderId="12" xfId="2" applyFont="1" applyBorder="1" applyAlignment="1">
      <alignment horizontal="center"/>
    </xf>
    <xf numFmtId="42" fontId="0" fillId="0" borderId="0" xfId="2" applyFont="1" applyBorder="1" applyAlignment="1">
      <alignment horizontal="center"/>
    </xf>
    <xf numFmtId="42" fontId="0" fillId="0" borderId="11" xfId="2" applyFont="1" applyBorder="1" applyAlignment="1">
      <alignment horizontal="center"/>
    </xf>
    <xf numFmtId="42" fontId="0" fillId="0" borderId="2" xfId="2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0" fillId="6" borderId="5" xfId="0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6" fillId="0" borderId="2" xfId="0" applyFont="1" applyBorder="1"/>
    <xf numFmtId="0" fontId="6" fillId="0" borderId="19" xfId="0" applyFont="1" applyBorder="1"/>
    <xf numFmtId="0" fontId="0" fillId="0" borderId="19" xfId="0" applyBorder="1"/>
    <xf numFmtId="0" fontId="6" fillId="0" borderId="0" xfId="0" applyFont="1" applyBorder="1"/>
    <xf numFmtId="42" fontId="0" fillId="0" borderId="20" xfId="2" applyFont="1" applyBorder="1" applyAlignment="1">
      <alignment horizontal="center"/>
    </xf>
    <xf numFmtId="42" fontId="0" fillId="0" borderId="21" xfId="2" applyFont="1" applyBorder="1" applyAlignment="1">
      <alignment horizontal="center"/>
    </xf>
    <xf numFmtId="42" fontId="0" fillId="0" borderId="22" xfId="2" applyFont="1" applyBorder="1" applyAlignment="1">
      <alignment horizontal="center"/>
    </xf>
    <xf numFmtId="0" fontId="0" fillId="0" borderId="23" xfId="0" applyBorder="1"/>
    <xf numFmtId="0" fontId="0" fillId="0" borderId="24" xfId="0" applyBorder="1"/>
    <xf numFmtId="0" fontId="0" fillId="0" borderId="25" xfId="0" applyBorder="1"/>
    <xf numFmtId="42" fontId="0" fillId="0" borderId="26" xfId="0" applyNumberFormat="1" applyBorder="1"/>
    <xf numFmtId="42" fontId="0" fillId="0" borderId="27" xfId="0" applyNumberFormat="1" applyBorder="1"/>
    <xf numFmtId="0" fontId="0" fillId="0" borderId="26" xfId="0" applyBorder="1"/>
    <xf numFmtId="42" fontId="0" fillId="0" borderId="28" xfId="0" applyNumberFormat="1" applyBorder="1"/>
  </cellXfs>
  <cellStyles count="3">
    <cellStyle name="Comma [0]" xfId="1" builtinId="6"/>
    <cellStyle name="Currency [0]" xfId="2" builtinId="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30B311-F602-4F54-A7B3-2D40134127C5}">
  <dimension ref="A2:E37"/>
  <sheetViews>
    <sheetView workbookViewId="0">
      <selection activeCell="J19" sqref="J19"/>
    </sheetView>
  </sheetViews>
  <sheetFormatPr defaultColWidth="11.5546875" defaultRowHeight="14.4" x14ac:dyDescent="0.3"/>
  <cols>
    <col min="1" max="1" width="26.5546875" bestFit="1" customWidth="1"/>
    <col min="2" max="2" width="6.6640625" bestFit="1" customWidth="1"/>
    <col min="3" max="3" width="5.109375" bestFit="1" customWidth="1"/>
    <col min="4" max="4" width="27.88671875" bestFit="1" customWidth="1"/>
    <col min="5" max="5" width="15.5546875" bestFit="1" customWidth="1"/>
    <col min="6" max="6" width="2" bestFit="1" customWidth="1"/>
    <col min="7" max="7" width="19.6640625" bestFit="1" customWidth="1"/>
    <col min="8" max="8" width="12" bestFit="1" customWidth="1"/>
    <col min="9" max="9" width="5" bestFit="1" customWidth="1"/>
    <col min="10" max="10" width="14.109375" bestFit="1" customWidth="1"/>
    <col min="11" max="11" width="12.6640625" bestFit="1" customWidth="1"/>
  </cols>
  <sheetData>
    <row r="2" spans="1:5" x14ac:dyDescent="0.3">
      <c r="A2" s="35" t="s">
        <v>5</v>
      </c>
      <c r="B2" s="35"/>
      <c r="C2" s="35"/>
      <c r="D2" s="35"/>
    </row>
    <row r="3" spans="1:5" x14ac:dyDescent="0.3">
      <c r="A3" s="35" t="s">
        <v>6</v>
      </c>
      <c r="B3" s="35"/>
      <c r="C3" s="35"/>
      <c r="D3" s="35"/>
    </row>
    <row r="4" spans="1:5" x14ac:dyDescent="0.3">
      <c r="A4" s="35" t="s">
        <v>7</v>
      </c>
      <c r="B4" s="35"/>
      <c r="C4" s="35"/>
      <c r="D4" s="35"/>
    </row>
    <row r="5" spans="1:5" x14ac:dyDescent="0.3">
      <c r="A5" s="35" t="s">
        <v>50</v>
      </c>
      <c r="B5" s="35"/>
      <c r="C5" s="35"/>
      <c r="D5" s="35"/>
    </row>
    <row r="7" spans="1:5" x14ac:dyDescent="0.3">
      <c r="A7" t="s">
        <v>51</v>
      </c>
      <c r="B7" t="s">
        <v>52</v>
      </c>
      <c r="C7" t="s">
        <v>53</v>
      </c>
      <c r="D7" t="s">
        <v>54</v>
      </c>
      <c r="E7" t="s">
        <v>55</v>
      </c>
    </row>
    <row r="8" spans="1:5" x14ac:dyDescent="0.3">
      <c r="A8" t="s">
        <v>19</v>
      </c>
      <c r="B8" s="10">
        <v>42278</v>
      </c>
      <c r="C8">
        <v>2022</v>
      </c>
    </row>
    <row r="9" spans="1:5" x14ac:dyDescent="0.3">
      <c r="A9" t="s">
        <v>20</v>
      </c>
      <c r="B9" s="10">
        <v>11293</v>
      </c>
      <c r="C9">
        <v>2023</v>
      </c>
    </row>
    <row r="10" spans="1:5" x14ac:dyDescent="0.3">
      <c r="A10" t="s">
        <v>20</v>
      </c>
      <c r="B10" s="10">
        <v>42278</v>
      </c>
      <c r="C10">
        <v>2024</v>
      </c>
    </row>
    <row r="11" spans="1:5" x14ac:dyDescent="0.3">
      <c r="A11" t="s">
        <v>25</v>
      </c>
      <c r="C11">
        <v>2025</v>
      </c>
      <c r="D11" s="1">
        <f>'ingresos PN'!B8</f>
        <v>48807303</v>
      </c>
    </row>
    <row r="12" spans="1:5" x14ac:dyDescent="0.3">
      <c r="A12" t="s">
        <v>25</v>
      </c>
      <c r="C12">
        <v>2026</v>
      </c>
      <c r="D12" s="1">
        <f>'ingresos PN'!B9</f>
        <v>211987058</v>
      </c>
      <c r="E12" s="1"/>
    </row>
    <row r="13" spans="1:5" x14ac:dyDescent="0.3">
      <c r="A13" t="s">
        <v>21</v>
      </c>
      <c r="B13" s="10">
        <v>11110</v>
      </c>
      <c r="C13">
        <v>2025</v>
      </c>
      <c r="E13" s="1">
        <f>'creditos por cancelar'!B$6/4</f>
        <v>43151750.75</v>
      </c>
    </row>
    <row r="14" spans="1:5" x14ac:dyDescent="0.3">
      <c r="A14" t="s">
        <v>22</v>
      </c>
      <c r="B14" s="10">
        <v>11658</v>
      </c>
      <c r="C14">
        <v>2025</v>
      </c>
      <c r="E14" s="1">
        <f>'creditos por cancelar'!B$6/4</f>
        <v>43151750.75</v>
      </c>
    </row>
    <row r="15" spans="1:5" x14ac:dyDescent="0.3">
      <c r="A15" s="1" t="s">
        <v>23</v>
      </c>
      <c r="B15" s="10">
        <v>11110</v>
      </c>
      <c r="C15">
        <v>2026</v>
      </c>
      <c r="E15" s="1">
        <f>'creditos por cancelar'!B$6/4</f>
        <v>43151750.75</v>
      </c>
    </row>
    <row r="16" spans="1:5" x14ac:dyDescent="0.3">
      <c r="A16" s="1" t="s">
        <v>24</v>
      </c>
      <c r="B16" s="10">
        <v>11658</v>
      </c>
      <c r="C16">
        <v>2026</v>
      </c>
      <c r="E16" s="1">
        <f>'creditos por cancelar'!B$6/4</f>
        <v>43151750.75</v>
      </c>
    </row>
    <row r="17" spans="1:5" x14ac:dyDescent="0.3">
      <c r="A17" s="1" t="s">
        <v>25</v>
      </c>
      <c r="C17">
        <v>2027</v>
      </c>
      <c r="D17" s="1">
        <f>'ingresos PN'!B10</f>
        <v>430198206</v>
      </c>
    </row>
    <row r="18" spans="1:5" x14ac:dyDescent="0.3">
      <c r="A18" s="1" t="s">
        <v>25</v>
      </c>
      <c r="C18">
        <v>2028</v>
      </c>
      <c r="D18" s="1">
        <f>'ingresos PN'!B11</f>
        <v>699064688</v>
      </c>
    </row>
    <row r="19" spans="1:5" x14ac:dyDescent="0.3">
      <c r="A19" s="1" t="s">
        <v>26</v>
      </c>
      <c r="B19" s="10">
        <v>11110</v>
      </c>
      <c r="C19">
        <v>2027</v>
      </c>
      <c r="E19" s="1">
        <f>'creditos por cancelar'!B$7/4</f>
        <v>200000000</v>
      </c>
    </row>
    <row r="20" spans="1:5" x14ac:dyDescent="0.3">
      <c r="A20" s="1" t="s">
        <v>27</v>
      </c>
      <c r="B20" s="10">
        <v>11658</v>
      </c>
      <c r="C20">
        <v>2027</v>
      </c>
      <c r="E20" s="1">
        <f>'creditos por cancelar'!B$7/4</f>
        <v>200000000</v>
      </c>
    </row>
    <row r="21" spans="1:5" x14ac:dyDescent="0.3">
      <c r="A21" s="1" t="s">
        <v>28</v>
      </c>
      <c r="B21" s="10">
        <v>11110</v>
      </c>
      <c r="C21">
        <v>2028</v>
      </c>
      <c r="E21" s="1">
        <f>'creditos por cancelar'!B$7/4</f>
        <v>200000000</v>
      </c>
    </row>
    <row r="22" spans="1:5" x14ac:dyDescent="0.3">
      <c r="A22" s="1" t="s">
        <v>29</v>
      </c>
      <c r="B22" s="10">
        <v>11658</v>
      </c>
      <c r="C22">
        <v>2028</v>
      </c>
      <c r="E22" s="1">
        <f>'creditos por cancelar'!B$7/4</f>
        <v>200000000</v>
      </c>
    </row>
    <row r="23" spans="1:5" x14ac:dyDescent="0.3">
      <c r="A23" s="1" t="s">
        <v>25</v>
      </c>
      <c r="C23">
        <v>2029</v>
      </c>
      <c r="D23" s="1">
        <f>'ingresos PN'!B12</f>
        <v>694846285</v>
      </c>
    </row>
    <row r="24" spans="1:5" x14ac:dyDescent="0.3">
      <c r="A24" s="1" t="s">
        <v>25</v>
      </c>
      <c r="C24">
        <v>2030</v>
      </c>
      <c r="D24" s="1">
        <f>'ingresos PN'!B13</f>
        <v>1136292665</v>
      </c>
    </row>
    <row r="25" spans="1:5" x14ac:dyDescent="0.3">
      <c r="A25" s="1" t="s">
        <v>30</v>
      </c>
      <c r="C25">
        <v>2029</v>
      </c>
      <c r="E25" s="1">
        <f>'creditos por cancelar'!B$8/4</f>
        <v>299479893.5</v>
      </c>
    </row>
    <row r="26" spans="1:5" x14ac:dyDescent="0.3">
      <c r="A26" s="1" t="s">
        <v>31</v>
      </c>
      <c r="C26">
        <v>2029</v>
      </c>
      <c r="E26" s="1">
        <f>'creditos por cancelar'!B$8/4</f>
        <v>299479893.5</v>
      </c>
    </row>
    <row r="27" spans="1:5" x14ac:dyDescent="0.3">
      <c r="A27" s="1" t="s">
        <v>32</v>
      </c>
      <c r="C27">
        <v>2030</v>
      </c>
      <c r="E27" s="1">
        <f>'creditos por cancelar'!B$8/4</f>
        <v>299479893.5</v>
      </c>
    </row>
    <row r="28" spans="1:5" x14ac:dyDescent="0.3">
      <c r="A28" s="1" t="s">
        <v>33</v>
      </c>
      <c r="C28">
        <v>2030</v>
      </c>
      <c r="E28" s="1">
        <f>'creditos por cancelar'!B$8/4</f>
        <v>299479893.5</v>
      </c>
    </row>
    <row r="29" spans="1:5" x14ac:dyDescent="0.3">
      <c r="A29" s="1" t="s">
        <v>25</v>
      </c>
      <c r="D29" s="4">
        <f>'ingresos PN'!B14</f>
        <v>1702961919</v>
      </c>
      <c r="E29" s="1"/>
    </row>
    <row r="30" spans="1:5" x14ac:dyDescent="0.3">
      <c r="A30" s="1" t="s">
        <v>59</v>
      </c>
      <c r="C30">
        <v>2031</v>
      </c>
      <c r="E30" s="1">
        <f>'creditos por cancelar'!B9</f>
        <v>108024302</v>
      </c>
    </row>
    <row r="31" spans="1:5" x14ac:dyDescent="0.3">
      <c r="A31" s="1" t="s">
        <v>67</v>
      </c>
      <c r="C31">
        <v>2031</v>
      </c>
      <c r="E31" s="1">
        <f>'creditos por cancelar'!B10/2</f>
        <v>217875000</v>
      </c>
    </row>
    <row r="32" spans="1:5" x14ac:dyDescent="0.3">
      <c r="A32" s="1" t="s">
        <v>67</v>
      </c>
      <c r="C32">
        <v>2032</v>
      </c>
      <c r="E32" s="4">
        <f>E31</f>
        <v>217875000</v>
      </c>
    </row>
    <row r="33" spans="1:5" x14ac:dyDescent="0.3">
      <c r="A33" s="1" t="s">
        <v>68</v>
      </c>
      <c r="C33">
        <v>2032</v>
      </c>
      <c r="E33" s="4">
        <f>'interes 4,5'!K19/2</f>
        <v>235840416.13124996</v>
      </c>
    </row>
    <row r="34" spans="1:5" x14ac:dyDescent="0.3">
      <c r="A34" s="1" t="s">
        <v>68</v>
      </c>
      <c r="C34">
        <v>2032</v>
      </c>
      <c r="E34" s="4">
        <f>'interes 4,5'!K19/2</f>
        <v>235840416.13124996</v>
      </c>
    </row>
    <row r="35" spans="1:5" x14ac:dyDescent="0.3">
      <c r="A35" s="1"/>
      <c r="E35" s="1"/>
    </row>
    <row r="36" spans="1:5" x14ac:dyDescent="0.3">
      <c r="A36" s="1"/>
      <c r="E36" s="1"/>
    </row>
    <row r="37" spans="1:5" x14ac:dyDescent="0.3">
      <c r="A37" s="1"/>
      <c r="E37" s="1"/>
    </row>
  </sheetData>
  <mergeCells count="4">
    <mergeCell ref="A2:D2"/>
    <mergeCell ref="A3:D3"/>
    <mergeCell ref="A4:D4"/>
    <mergeCell ref="A5:D5"/>
  </mergeCells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075C00-4301-451E-85A2-B7216D922984}">
  <dimension ref="A6:B11"/>
  <sheetViews>
    <sheetView workbookViewId="0">
      <selection activeCell="D6" sqref="D6:E11"/>
    </sheetView>
  </sheetViews>
  <sheetFormatPr defaultColWidth="11.5546875" defaultRowHeight="14.4" x14ac:dyDescent="0.3"/>
  <cols>
    <col min="1" max="1" width="27.33203125" bestFit="1" customWidth="1"/>
    <col min="2" max="2" width="15.5546875" bestFit="1" customWidth="1"/>
  </cols>
  <sheetData>
    <row r="6" spans="1:2" x14ac:dyDescent="0.3">
      <c r="A6" t="s">
        <v>61</v>
      </c>
      <c r="B6" s="12">
        <v>172607003</v>
      </c>
    </row>
    <row r="7" spans="1:2" x14ac:dyDescent="0.3">
      <c r="A7" t="s">
        <v>62</v>
      </c>
      <c r="B7" s="12">
        <v>800000000</v>
      </c>
    </row>
    <row r="8" spans="1:2" x14ac:dyDescent="0.3">
      <c r="A8" t="s">
        <v>63</v>
      </c>
      <c r="B8" s="12">
        <v>1197919574</v>
      </c>
    </row>
    <row r="9" spans="1:2" x14ac:dyDescent="0.3">
      <c r="A9" t="s">
        <v>64</v>
      </c>
      <c r="B9" s="12">
        <f>'interes 4,5'!K15</f>
        <v>108024302</v>
      </c>
    </row>
    <row r="10" spans="1:2" x14ac:dyDescent="0.3">
      <c r="A10" t="s">
        <v>74</v>
      </c>
      <c r="B10" s="12">
        <f>'interes 4,5'!K10+'interes 4,5'!K12</f>
        <v>435750000</v>
      </c>
    </row>
    <row r="11" spans="1:2" x14ac:dyDescent="0.3">
      <c r="A11" t="s">
        <v>65</v>
      </c>
      <c r="B11" s="12">
        <f>'interes 4,5'!K19</f>
        <v>471680832.26249993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657FBC-F271-4951-A11F-B802654F522E}">
  <dimension ref="A3:E16"/>
  <sheetViews>
    <sheetView workbookViewId="0">
      <selection activeCell="D28" sqref="D28"/>
    </sheetView>
  </sheetViews>
  <sheetFormatPr defaultColWidth="11.5546875" defaultRowHeight="14.4" x14ac:dyDescent="0.3"/>
  <cols>
    <col min="2" max="2" width="18.5546875" bestFit="1" customWidth="1"/>
    <col min="3" max="3" width="19" bestFit="1" customWidth="1"/>
    <col min="4" max="4" width="17.44140625" bestFit="1" customWidth="1"/>
    <col min="5" max="5" width="37.44140625" bestFit="1" customWidth="1"/>
  </cols>
  <sheetData>
    <row r="3" spans="1:5" x14ac:dyDescent="0.3">
      <c r="A3" s="2" t="s">
        <v>0</v>
      </c>
      <c r="B3" s="3" t="s">
        <v>10</v>
      </c>
      <c r="C3" s="3" t="s">
        <v>8</v>
      </c>
      <c r="D3" t="s">
        <v>12</v>
      </c>
      <c r="E3" t="s">
        <v>14</v>
      </c>
    </row>
    <row r="4" spans="1:5" x14ac:dyDescent="0.3">
      <c r="B4" s="3" t="s">
        <v>11</v>
      </c>
      <c r="C4" s="3" t="s">
        <v>9</v>
      </c>
      <c r="D4" t="s">
        <v>13</v>
      </c>
      <c r="E4" t="s">
        <v>15</v>
      </c>
    </row>
    <row r="7" spans="1:5" x14ac:dyDescent="0.3">
      <c r="A7" s="2">
        <v>2022</v>
      </c>
    </row>
    <row r="8" spans="1:5" x14ac:dyDescent="0.3">
      <c r="A8" s="2">
        <v>2223</v>
      </c>
      <c r="B8" s="8">
        <v>48807303</v>
      </c>
      <c r="C8" s="7">
        <v>172607003</v>
      </c>
      <c r="D8" s="4">
        <f>B8-C8</f>
        <v>-123799700</v>
      </c>
      <c r="E8" t="s">
        <v>1</v>
      </c>
    </row>
    <row r="9" spans="1:5" x14ac:dyDescent="0.3">
      <c r="A9" s="2">
        <v>2024</v>
      </c>
      <c r="B9" s="8">
        <v>211987058</v>
      </c>
      <c r="C9" s="7">
        <v>800000000</v>
      </c>
      <c r="D9" s="4">
        <f>B9+(D8)</f>
        <v>88187358</v>
      </c>
      <c r="E9" t="s">
        <v>2</v>
      </c>
    </row>
    <row r="10" spans="1:5" x14ac:dyDescent="0.3">
      <c r="A10" s="2">
        <v>2025</v>
      </c>
      <c r="B10" s="9">
        <v>430198206</v>
      </c>
      <c r="C10" s="5">
        <v>1197919574</v>
      </c>
      <c r="D10" s="4">
        <f>(B10+D9)-C9</f>
        <v>-281614436</v>
      </c>
      <c r="E10" t="s">
        <v>3</v>
      </c>
    </row>
    <row r="11" spans="1:5" x14ac:dyDescent="0.3">
      <c r="A11" s="2">
        <v>2026</v>
      </c>
      <c r="B11" s="9">
        <v>699064688</v>
      </c>
      <c r="C11" s="5">
        <v>108024302</v>
      </c>
      <c r="D11" s="4">
        <f>B11+(D10)</f>
        <v>417450252</v>
      </c>
      <c r="E11" t="s">
        <v>16</v>
      </c>
    </row>
    <row r="12" spans="1:5" x14ac:dyDescent="0.3">
      <c r="A12" s="2">
        <v>2027</v>
      </c>
      <c r="B12" s="5">
        <v>694846285</v>
      </c>
      <c r="C12" s="1">
        <f>(C9*12%)*15</f>
        <v>1440000000</v>
      </c>
      <c r="D12" s="4">
        <f>B12+D11-C10</f>
        <v>-85623037</v>
      </c>
      <c r="E12" t="s">
        <v>17</v>
      </c>
    </row>
    <row r="13" spans="1:5" x14ac:dyDescent="0.3">
      <c r="A13" s="2">
        <v>2028</v>
      </c>
      <c r="B13" s="5">
        <v>1136292665</v>
      </c>
      <c r="C13" s="1">
        <f>(C10*12%)*8</f>
        <v>1150002791.04</v>
      </c>
      <c r="D13" s="4">
        <f>B13+(D12)-C11</f>
        <v>942645326</v>
      </c>
      <c r="E13" t="s">
        <v>18</v>
      </c>
    </row>
    <row r="14" spans="1:5" x14ac:dyDescent="0.3">
      <c r="A14" s="2">
        <v>2029</v>
      </c>
      <c r="B14" s="5">
        <v>1702961919</v>
      </c>
      <c r="C14" s="1"/>
      <c r="D14" s="4">
        <f>B14+D13</f>
        <v>2645607245</v>
      </c>
      <c r="E14" t="s">
        <v>4</v>
      </c>
    </row>
    <row r="15" spans="1:5" x14ac:dyDescent="0.3">
      <c r="A15" s="2">
        <v>2030</v>
      </c>
      <c r="B15" s="5">
        <v>2432150341</v>
      </c>
    </row>
    <row r="16" spans="1:5" x14ac:dyDescent="0.3">
      <c r="A16" s="2">
        <v>2031</v>
      </c>
      <c r="B16" s="5">
        <v>3373438524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FEA4E6-0894-4B79-9563-970B8A6C2DDC}">
  <dimension ref="A1:K21"/>
  <sheetViews>
    <sheetView workbookViewId="0">
      <selection activeCell="D20" sqref="D20"/>
    </sheetView>
  </sheetViews>
  <sheetFormatPr defaultColWidth="11.5546875" defaultRowHeight="14.4" x14ac:dyDescent="0.3"/>
  <cols>
    <col min="2" max="2" width="14.109375" bestFit="1" customWidth="1"/>
    <col min="3" max="3" width="12.5546875" bestFit="1" customWidth="1"/>
    <col min="4" max="4" width="15.109375" bestFit="1" customWidth="1"/>
    <col min="5" max="5" width="14.109375" bestFit="1" customWidth="1"/>
    <col min="6" max="10" width="12.5546875" bestFit="1" customWidth="1"/>
    <col min="11" max="11" width="14.109375" bestFit="1" customWidth="1"/>
  </cols>
  <sheetData>
    <row r="1" spans="1:11" x14ac:dyDescent="0.3">
      <c r="C1">
        <v>100.5</v>
      </c>
      <c r="D1">
        <f>C1*30</f>
        <v>3015</v>
      </c>
      <c r="E1">
        <f>100*30</f>
        <v>3000</v>
      </c>
    </row>
    <row r="2" spans="1:11" x14ac:dyDescent="0.3">
      <c r="B2" s="11">
        <f>C2-D1</f>
        <v>40723</v>
      </c>
      <c r="C2" s="11">
        <v>43738</v>
      </c>
    </row>
    <row r="6" spans="1:11" x14ac:dyDescent="0.3">
      <c r="A6" t="s">
        <v>40</v>
      </c>
      <c r="C6" t="s">
        <v>48</v>
      </c>
      <c r="D6" t="s">
        <v>44</v>
      </c>
      <c r="E6" t="s">
        <v>45</v>
      </c>
      <c r="F6" t="s">
        <v>47</v>
      </c>
      <c r="G6" t="s">
        <v>47</v>
      </c>
      <c r="H6" t="s">
        <v>47</v>
      </c>
      <c r="K6" t="s">
        <v>57</v>
      </c>
    </row>
    <row r="7" spans="1:11" x14ac:dyDescent="0.3">
      <c r="A7" t="s">
        <v>41</v>
      </c>
      <c r="B7" s="11">
        <v>40723</v>
      </c>
      <c r="C7" s="4">
        <f>B8*B9</f>
        <v>1500000</v>
      </c>
      <c r="E7" t="s">
        <v>46</v>
      </c>
    </row>
    <row r="8" spans="1:11" x14ac:dyDescent="0.3">
      <c r="A8" t="s">
        <v>42</v>
      </c>
      <c r="B8" s="1">
        <v>400000000</v>
      </c>
      <c r="E8">
        <v>6</v>
      </c>
      <c r="F8">
        <v>6</v>
      </c>
      <c r="G8">
        <v>6</v>
      </c>
      <c r="H8">
        <v>6</v>
      </c>
    </row>
    <row r="9" spans="1:11" x14ac:dyDescent="0.3">
      <c r="A9" t="s">
        <v>43</v>
      </c>
      <c r="B9">
        <f>4.5%/12</f>
        <v>3.7499999999999999E-3</v>
      </c>
      <c r="C9">
        <f>100.5+39</f>
        <v>139.5</v>
      </c>
      <c r="E9" s="1">
        <f>B8</f>
        <v>400000000</v>
      </c>
      <c r="F9" s="1">
        <f>E9-100000000</f>
        <v>300000000</v>
      </c>
      <c r="G9" s="1">
        <f>F9-100000000</f>
        <v>200000000</v>
      </c>
      <c r="H9" s="1">
        <f>G9-100000000</f>
        <v>100000000</v>
      </c>
    </row>
    <row r="10" spans="1:11" x14ac:dyDescent="0.3">
      <c r="D10" s="4">
        <f>(B8*B9)*C9</f>
        <v>209250000</v>
      </c>
      <c r="E10" s="1">
        <f>(B$9*E9)*E8</f>
        <v>9000000</v>
      </c>
      <c r="F10" s="1">
        <f>(B9*F9)*F8</f>
        <v>6750000</v>
      </c>
      <c r="G10" s="4">
        <f>(B9*G9)*G8</f>
        <v>4500000</v>
      </c>
      <c r="H10" s="4">
        <f>(B9*H9)*H8</f>
        <v>2250000</v>
      </c>
      <c r="K10" s="4">
        <f>D10+E10+F10+G10+H10</f>
        <v>231750000</v>
      </c>
    </row>
    <row r="11" spans="1:11" x14ac:dyDescent="0.3">
      <c r="E11" s="4"/>
    </row>
    <row r="12" spans="1:11" x14ac:dyDescent="0.3">
      <c r="A12" t="s">
        <v>49</v>
      </c>
      <c r="B12" s="1">
        <f>200000000*2</f>
        <v>400000000</v>
      </c>
      <c r="C12" s="1">
        <f>82+39</f>
        <v>121</v>
      </c>
      <c r="D12" s="1">
        <f>(B12*B13)*C12</f>
        <v>181500000</v>
      </c>
      <c r="E12" s="4">
        <f>(E9*E8)*B13</f>
        <v>9000000</v>
      </c>
      <c r="F12" s="4">
        <f>F10</f>
        <v>6750000</v>
      </c>
      <c r="G12" s="4">
        <f>G10</f>
        <v>4500000</v>
      </c>
      <c r="H12" s="4">
        <f>H10</f>
        <v>2250000</v>
      </c>
      <c r="K12" s="4">
        <f>D12+E12+F12+G12+H12</f>
        <v>204000000</v>
      </c>
    </row>
    <row r="13" spans="1:11" x14ac:dyDescent="0.3">
      <c r="B13">
        <f>4.5%/12</f>
        <v>3.7499999999999999E-3</v>
      </c>
    </row>
    <row r="15" spans="1:11" x14ac:dyDescent="0.3">
      <c r="A15" t="s">
        <v>58</v>
      </c>
      <c r="C15" s="1">
        <v>14241000</v>
      </c>
      <c r="D15" s="1">
        <v>7540000</v>
      </c>
      <c r="E15" s="1">
        <v>3618000</v>
      </c>
      <c r="F15" s="1">
        <v>42227242</v>
      </c>
      <c r="G15" s="1">
        <v>11315877</v>
      </c>
      <c r="H15" s="1">
        <v>29082183</v>
      </c>
      <c r="I15" s="1"/>
      <c r="J15" s="1"/>
      <c r="K15" s="1">
        <f>C15+D15+E15+F15+G15+H15</f>
        <v>108024302</v>
      </c>
    </row>
    <row r="17" spans="1:11" x14ac:dyDescent="0.3">
      <c r="A17" t="s">
        <v>66</v>
      </c>
      <c r="B17" s="1">
        <v>1197919574</v>
      </c>
      <c r="C17" s="4"/>
      <c r="E17">
        <v>6</v>
      </c>
      <c r="F17">
        <v>6</v>
      </c>
      <c r="G17">
        <v>6</v>
      </c>
      <c r="H17">
        <v>6</v>
      </c>
    </row>
    <row r="18" spans="1:11" x14ac:dyDescent="0.3">
      <c r="B18">
        <f>4.5%/12</f>
        <v>3.7499999999999999E-3</v>
      </c>
      <c r="C18">
        <f>42+48</f>
        <v>90</v>
      </c>
      <c r="E18" s="4">
        <f>B17</f>
        <v>1197919574</v>
      </c>
      <c r="F18" s="4">
        <f>E18-('flujo pagos'!E25)</f>
        <v>898439680.5</v>
      </c>
      <c r="G18" s="4">
        <f>F18-'flujo pagos'!E25</f>
        <v>598959787</v>
      </c>
      <c r="H18" s="4">
        <f>G18-'flujo pagos'!E25</f>
        <v>299479893.5</v>
      </c>
      <c r="I18" s="4"/>
      <c r="J18" s="4"/>
      <c r="K18" s="4"/>
    </row>
    <row r="19" spans="1:11" x14ac:dyDescent="0.3">
      <c r="D19" s="4">
        <f>(B17*B18)*C18</f>
        <v>404297856.22499996</v>
      </c>
      <c r="E19" s="4">
        <f>(E18*B18)*E17</f>
        <v>26953190.414999999</v>
      </c>
      <c r="F19" s="4">
        <f>(F18*B18)*F17</f>
        <v>20214892.811250001</v>
      </c>
      <c r="G19" s="4">
        <f>(G18*$B18)*G17</f>
        <v>13476595.2075</v>
      </c>
      <c r="H19" s="4">
        <f>(H18*$B18)*H17</f>
        <v>6738297.6037499998</v>
      </c>
      <c r="I19" s="4"/>
      <c r="J19" s="4"/>
      <c r="K19" s="4">
        <f>SUM(D19:J19)</f>
        <v>471680832.26249993</v>
      </c>
    </row>
    <row r="20" spans="1:11" x14ac:dyDescent="0.3">
      <c r="B20" s="14"/>
    </row>
    <row r="21" spans="1:11" x14ac:dyDescent="0.3">
      <c r="K21" s="4">
        <f>SUM(K10:K19)</f>
        <v>1015455134.2624999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727284-73FE-4AEE-B97B-8AB34A0F950E}">
  <dimension ref="A4:I8"/>
  <sheetViews>
    <sheetView workbookViewId="0">
      <selection activeCell="I8" sqref="I8"/>
    </sheetView>
  </sheetViews>
  <sheetFormatPr defaultColWidth="11.5546875" defaultRowHeight="14.4" x14ac:dyDescent="0.3"/>
  <cols>
    <col min="1" max="1" width="13.5546875" bestFit="1" customWidth="1"/>
    <col min="2" max="2" width="17.44140625" bestFit="1" customWidth="1"/>
    <col min="4" max="4" width="15.5546875" bestFit="1" customWidth="1"/>
    <col min="5" max="6" width="14.109375" bestFit="1" customWidth="1"/>
    <col min="8" max="9" width="12.44140625" bestFit="1" customWidth="1"/>
  </cols>
  <sheetData>
    <row r="4" spans="1:9" x14ac:dyDescent="0.3">
      <c r="B4" t="s">
        <v>72</v>
      </c>
      <c r="C4" t="s">
        <v>56</v>
      </c>
      <c r="D4" t="s">
        <v>73</v>
      </c>
      <c r="E4" s="6" t="s">
        <v>36</v>
      </c>
      <c r="F4" s="13" t="s">
        <v>60</v>
      </c>
    </row>
    <row r="5" spans="1:9" x14ac:dyDescent="0.3">
      <c r="A5" t="s">
        <v>34</v>
      </c>
      <c r="B5" s="4">
        <f>'flujo pagos'!D11+'flujo pagos'!D12</f>
        <v>260794361</v>
      </c>
      <c r="C5" t="s">
        <v>35</v>
      </c>
      <c r="D5" s="4">
        <f>'flujo pagos'!E13+'flujo pagos'!E14+'flujo pagos'!E15+'flujo pagos'!E16</f>
        <v>172607003</v>
      </c>
      <c r="E5" s="4">
        <f>B5-D5</f>
        <v>88187358</v>
      </c>
      <c r="G5">
        <f>E5/$I$6</f>
        <v>0.20294224994368987</v>
      </c>
      <c r="H5" s="4">
        <f>G5*$I$8</f>
        <v>2939578.6</v>
      </c>
    </row>
    <row r="6" spans="1:9" x14ac:dyDescent="0.3">
      <c r="A6" t="s">
        <v>37</v>
      </c>
      <c r="B6" s="4">
        <f>'flujo pagos'!D17+'flujo pagos'!D18</f>
        <v>1129262894</v>
      </c>
      <c r="C6" t="s">
        <v>38</v>
      </c>
      <c r="D6" s="4">
        <f>'flujo pagos'!E19+'flujo pagos'!E20+'flujo pagos'!E21+'flujo pagos'!E22</f>
        <v>800000000</v>
      </c>
      <c r="E6" s="4">
        <f>B6-D6</f>
        <v>329262894</v>
      </c>
      <c r="G6">
        <f>E6/$I$6</f>
        <v>0.75772031328266642</v>
      </c>
      <c r="H6" s="4">
        <f t="shared" ref="H6:H8" si="0">G6*$I$8</f>
        <v>10975429.799999999</v>
      </c>
      <c r="I6" s="4">
        <f>AVERAGE(E5:E8)</f>
        <v>434544103.18437505</v>
      </c>
    </row>
    <row r="7" spans="1:9" x14ac:dyDescent="0.3">
      <c r="A7" t="s">
        <v>39</v>
      </c>
      <c r="B7" s="4">
        <f>'flujo pagos'!D23+'flujo pagos'!D24</f>
        <v>1831138950</v>
      </c>
      <c r="C7" t="s">
        <v>71</v>
      </c>
      <c r="D7" s="4">
        <f>'flujo pagos'!E25+'flujo pagos'!E26+'flujo pagos'!E27+'flujo pagos'!E28</f>
        <v>1197919574</v>
      </c>
      <c r="E7" s="4">
        <f>B7-D7</f>
        <v>633219376</v>
      </c>
      <c r="G7">
        <f>E7/$I$6</f>
        <v>1.4572039324885924</v>
      </c>
      <c r="H7" s="4">
        <f t="shared" si="0"/>
        <v>21107312.533333331</v>
      </c>
    </row>
    <row r="8" spans="1:9" x14ac:dyDescent="0.3">
      <c r="A8" t="s">
        <v>69</v>
      </c>
      <c r="B8" s="4">
        <f>'flujo pagos'!D29</f>
        <v>1702961919</v>
      </c>
      <c r="C8" t="s">
        <v>70</v>
      </c>
      <c r="D8" s="4">
        <f>'flujo pagos'!E30+'flujo pagos'!E31+'flujo pagos'!E32+'flujo pagos'!E33+'flujo pagos'!E34</f>
        <v>1015455134.2624998</v>
      </c>
      <c r="E8" s="4">
        <f>B8-D8</f>
        <v>687506784.73750019</v>
      </c>
      <c r="F8" s="4">
        <f>E5+E6+E7+E8</f>
        <v>1738176412.7375002</v>
      </c>
      <c r="G8">
        <f>E8/$I$6</f>
        <v>1.5821335042850513</v>
      </c>
      <c r="H8" s="4">
        <f t="shared" si="0"/>
        <v>22916892.82458334</v>
      </c>
      <c r="I8" s="4">
        <f>F8/120</f>
        <v>14484803.439479169</v>
      </c>
    </row>
  </sheetData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99E59E-71A1-4937-94DE-9CB28FE015FC}">
  <dimension ref="A2:O40"/>
  <sheetViews>
    <sheetView tabSelected="1" workbookViewId="0">
      <selection activeCell="H17" sqref="H17"/>
    </sheetView>
  </sheetViews>
  <sheetFormatPr defaultRowHeight="14.4" x14ac:dyDescent="0.3"/>
  <cols>
    <col min="1" max="1" width="23.5546875" bestFit="1" customWidth="1"/>
    <col min="4" max="4" width="9.5546875" bestFit="1" customWidth="1"/>
    <col min="5" max="9" width="14" bestFit="1" customWidth="1"/>
    <col min="10" max="11" width="15.5546875" bestFit="1" customWidth="1"/>
    <col min="12" max="12" width="14" bestFit="1" customWidth="1"/>
    <col min="13" max="14" width="15.5546875" bestFit="1" customWidth="1"/>
    <col min="18" max="18" width="12" bestFit="1" customWidth="1"/>
  </cols>
  <sheetData>
    <row r="2" spans="1:15" x14ac:dyDescent="0.3">
      <c r="E2" s="10">
        <v>11110</v>
      </c>
      <c r="F2" s="10">
        <v>11110</v>
      </c>
      <c r="G2" s="10">
        <v>11110</v>
      </c>
      <c r="H2" s="10">
        <v>11110</v>
      </c>
      <c r="I2" s="10">
        <v>11110</v>
      </c>
      <c r="J2" s="10">
        <v>11110</v>
      </c>
      <c r="K2" s="10">
        <v>11110</v>
      </c>
      <c r="L2" s="10">
        <v>11110</v>
      </c>
    </row>
    <row r="3" spans="1:15" ht="15" thickBot="1" x14ac:dyDescent="0.35">
      <c r="B3" s="41" t="s">
        <v>75</v>
      </c>
      <c r="C3" s="42"/>
      <c r="D3" s="43"/>
      <c r="E3" s="10">
        <v>11658</v>
      </c>
      <c r="F3" s="10">
        <v>11658</v>
      </c>
      <c r="G3" s="10">
        <v>11658</v>
      </c>
      <c r="H3" s="10">
        <v>11658</v>
      </c>
      <c r="I3" s="10">
        <v>11658</v>
      </c>
      <c r="J3" s="10">
        <v>11658</v>
      </c>
      <c r="K3" s="10">
        <v>11658</v>
      </c>
      <c r="L3" s="10">
        <v>11658</v>
      </c>
    </row>
    <row r="4" spans="1:15" ht="15" thickBot="1" x14ac:dyDescent="0.35">
      <c r="A4" s="25" t="s">
        <v>85</v>
      </c>
      <c r="B4" s="18">
        <v>2022</v>
      </c>
      <c r="C4" s="18">
        <v>2023</v>
      </c>
      <c r="D4" s="19">
        <v>2024</v>
      </c>
      <c r="E4" s="16">
        <v>2025</v>
      </c>
      <c r="F4" s="16">
        <v>2026</v>
      </c>
      <c r="G4" s="16">
        <v>2027</v>
      </c>
      <c r="H4" s="16">
        <v>2028</v>
      </c>
      <c r="I4" s="16">
        <v>2029</v>
      </c>
      <c r="J4" s="16">
        <v>2030</v>
      </c>
      <c r="K4" s="16">
        <v>2031</v>
      </c>
      <c r="L4" s="16">
        <v>2032</v>
      </c>
      <c r="M4" s="17" t="s">
        <v>83</v>
      </c>
    </row>
    <row r="5" spans="1:15" ht="15" thickBot="1" x14ac:dyDescent="0.35">
      <c r="A5" s="26" t="s">
        <v>76</v>
      </c>
      <c r="B5" s="24">
        <v>42278</v>
      </c>
      <c r="C5" s="20"/>
      <c r="D5" s="21">
        <v>42278</v>
      </c>
      <c r="E5" s="30">
        <v>48807303</v>
      </c>
      <c r="F5" s="30">
        <v>211987058</v>
      </c>
      <c r="G5" s="30">
        <v>430198206</v>
      </c>
      <c r="H5" s="30">
        <v>699064688</v>
      </c>
      <c r="I5" s="30">
        <v>694846285</v>
      </c>
      <c r="J5" s="30">
        <v>1136292665</v>
      </c>
      <c r="K5" s="30">
        <v>1702961919</v>
      </c>
      <c r="L5" s="30"/>
      <c r="M5" s="31">
        <f>SUM(E5:L5)</f>
        <v>4924158124</v>
      </c>
      <c r="O5" s="10"/>
    </row>
    <row r="6" spans="1:15" ht="15" thickTop="1" x14ac:dyDescent="0.3">
      <c r="A6" s="27" t="s">
        <v>77</v>
      </c>
      <c r="B6" s="22"/>
      <c r="C6" s="22"/>
      <c r="D6" s="22"/>
      <c r="E6" s="12">
        <f>43151750.75*2</f>
        <v>86303501.5</v>
      </c>
      <c r="F6" s="12">
        <f>43151750.75*2</f>
        <v>86303501.5</v>
      </c>
      <c r="G6" s="12"/>
      <c r="H6" s="12"/>
      <c r="I6" s="12"/>
      <c r="J6" s="12"/>
      <c r="K6" s="12"/>
      <c r="L6" s="12"/>
      <c r="M6" s="32">
        <f t="shared" ref="M6:M11" si="0">SUM(E6:L6)</f>
        <v>172607003</v>
      </c>
      <c r="O6" s="10"/>
    </row>
    <row r="7" spans="1:15" x14ac:dyDescent="0.3">
      <c r="A7" s="27" t="s">
        <v>78</v>
      </c>
      <c r="B7" s="22"/>
      <c r="C7" s="22"/>
      <c r="D7" s="22"/>
      <c r="E7" s="12"/>
      <c r="F7" s="12"/>
      <c r="G7" s="12">
        <f>200000000*2</f>
        <v>400000000</v>
      </c>
      <c r="H7" s="12">
        <f>200000000*2</f>
        <v>400000000</v>
      </c>
      <c r="I7" s="12"/>
      <c r="J7" s="12"/>
      <c r="K7" s="12"/>
      <c r="L7" s="12"/>
      <c r="M7" s="32">
        <f t="shared" si="0"/>
        <v>800000000</v>
      </c>
      <c r="O7" s="10"/>
    </row>
    <row r="8" spans="1:15" x14ac:dyDescent="0.3">
      <c r="A8" s="27" t="s">
        <v>79</v>
      </c>
      <c r="B8" s="22"/>
      <c r="C8" s="22"/>
      <c r="D8" s="22"/>
      <c r="E8" s="12"/>
      <c r="F8" s="12"/>
      <c r="G8" s="12"/>
      <c r="H8" s="12"/>
      <c r="I8" s="12">
        <f>299479893.5*2</f>
        <v>598959787</v>
      </c>
      <c r="J8" s="12">
        <f>299479893.5*2</f>
        <v>598959787</v>
      </c>
      <c r="K8" s="12"/>
      <c r="L8" s="12"/>
      <c r="M8" s="32">
        <f t="shared" si="0"/>
        <v>1197919574</v>
      </c>
    </row>
    <row r="9" spans="1:15" x14ac:dyDescent="0.3">
      <c r="A9" s="27" t="s">
        <v>80</v>
      </c>
      <c r="B9" s="22"/>
      <c r="C9" s="22"/>
      <c r="D9" s="22"/>
      <c r="E9" s="12"/>
      <c r="F9" s="12"/>
      <c r="G9" s="12"/>
      <c r="H9" s="12"/>
      <c r="I9" s="12"/>
      <c r="J9" s="12"/>
      <c r="K9" s="12">
        <v>108024302</v>
      </c>
      <c r="L9" s="12"/>
      <c r="M9" s="32">
        <f t="shared" si="0"/>
        <v>108024302</v>
      </c>
    </row>
    <row r="10" spans="1:15" x14ac:dyDescent="0.3">
      <c r="A10" s="27" t="s">
        <v>81</v>
      </c>
      <c r="B10" s="22"/>
      <c r="C10" s="22"/>
      <c r="D10" s="22"/>
      <c r="E10" s="12"/>
      <c r="F10" s="12"/>
      <c r="G10" s="12"/>
      <c r="H10" s="12"/>
      <c r="I10" s="12"/>
      <c r="J10" s="12"/>
      <c r="K10" s="12">
        <v>217875000</v>
      </c>
      <c r="L10" s="12">
        <v>217875000</v>
      </c>
      <c r="M10" s="32">
        <f t="shared" si="0"/>
        <v>435750000</v>
      </c>
      <c r="O10" s="10"/>
    </row>
    <row r="11" spans="1:15" x14ac:dyDescent="0.3">
      <c r="A11" s="27" t="s">
        <v>82</v>
      </c>
      <c r="B11" s="22"/>
      <c r="C11" s="22"/>
      <c r="D11" s="22"/>
      <c r="E11" s="12"/>
      <c r="F11" s="12"/>
      <c r="G11" s="12"/>
      <c r="H11" s="12"/>
      <c r="I11" s="12"/>
      <c r="J11" s="12"/>
      <c r="K11" s="12"/>
      <c r="L11" s="12">
        <f>235840416.13125*2</f>
        <v>471680832.26249999</v>
      </c>
      <c r="M11" s="32">
        <f t="shared" si="0"/>
        <v>471680832.26249999</v>
      </c>
      <c r="O11" s="10"/>
    </row>
    <row r="12" spans="1:15" ht="15" thickBot="1" x14ac:dyDescent="0.35">
      <c r="A12" s="28" t="s">
        <v>84</v>
      </c>
      <c r="B12" s="23"/>
      <c r="C12" s="23"/>
      <c r="D12" s="23"/>
      <c r="E12" s="33">
        <f>E5-(SUM(E6:E11))</f>
        <v>-37496198.5</v>
      </c>
      <c r="F12" s="33">
        <f t="shared" ref="F12:L12" si="1">F5-(SUM(F6:F11))</f>
        <v>125683556.5</v>
      </c>
      <c r="G12" s="33">
        <f t="shared" si="1"/>
        <v>30198206</v>
      </c>
      <c r="H12" s="33">
        <f t="shared" si="1"/>
        <v>299064688</v>
      </c>
      <c r="I12" s="33">
        <f t="shared" si="1"/>
        <v>95886498</v>
      </c>
      <c r="J12" s="33">
        <f t="shared" si="1"/>
        <v>537332878</v>
      </c>
      <c r="K12" s="33">
        <f t="shared" si="1"/>
        <v>1377062617</v>
      </c>
      <c r="L12" s="33">
        <f t="shared" si="1"/>
        <v>-689555832.26250005</v>
      </c>
      <c r="M12" s="34">
        <f>M5-(SUM(M6:M11))</f>
        <v>1738176412.7375002</v>
      </c>
      <c r="N12" s="1"/>
      <c r="O12" s="10"/>
    </row>
    <row r="13" spans="1:15" x14ac:dyDescent="0.3">
      <c r="A13" s="45" t="s">
        <v>89</v>
      </c>
      <c r="B13" s="46"/>
      <c r="C13" s="46"/>
      <c r="N13" s="1"/>
      <c r="O13" s="10"/>
    </row>
    <row r="14" spans="1:15" x14ac:dyDescent="0.3">
      <c r="A14" s="47"/>
      <c r="B14" s="29"/>
      <c r="C14" s="29"/>
      <c r="N14" s="1"/>
      <c r="O14" s="10"/>
    </row>
    <row r="15" spans="1:15" ht="15" thickBot="1" x14ac:dyDescent="0.35">
      <c r="A15" s="44"/>
      <c r="B15" s="15"/>
      <c r="C15" s="15"/>
      <c r="N15" s="1"/>
      <c r="O15" s="10"/>
    </row>
    <row r="16" spans="1:15" ht="15.6" thickTop="1" thickBot="1" x14ac:dyDescent="0.35">
      <c r="A16" s="40" t="s">
        <v>90</v>
      </c>
      <c r="B16" s="40"/>
      <c r="C16" s="40"/>
      <c r="D16" s="51" t="s">
        <v>91</v>
      </c>
      <c r="E16" s="56" t="s">
        <v>92</v>
      </c>
      <c r="N16" s="1"/>
    </row>
    <row r="17" spans="1:15" ht="15" thickTop="1" x14ac:dyDescent="0.3">
      <c r="A17" t="s">
        <v>61</v>
      </c>
      <c r="B17" s="48">
        <v>172607003</v>
      </c>
      <c r="C17" s="49"/>
      <c r="D17" s="27">
        <v>4</v>
      </c>
      <c r="E17" s="54">
        <f>B17/D17</f>
        <v>43151750.75</v>
      </c>
      <c r="N17" s="1"/>
    </row>
    <row r="18" spans="1:15" x14ac:dyDescent="0.3">
      <c r="A18" t="s">
        <v>62</v>
      </c>
      <c r="B18" s="36">
        <v>800000000</v>
      </c>
      <c r="C18" s="37"/>
      <c r="D18" s="52">
        <v>4</v>
      </c>
      <c r="E18" s="55">
        <f t="shared" ref="E18:E22" si="2">B18/D18</f>
        <v>200000000</v>
      </c>
      <c r="F18" s="29"/>
      <c r="N18" s="1"/>
      <c r="O18" s="10"/>
    </row>
    <row r="19" spans="1:15" x14ac:dyDescent="0.3">
      <c r="A19" t="s">
        <v>63</v>
      </c>
      <c r="B19" s="36">
        <v>1197919574</v>
      </c>
      <c r="C19" s="50"/>
      <c r="D19" s="27">
        <v>4</v>
      </c>
      <c r="E19" s="55">
        <f t="shared" si="2"/>
        <v>299479893.5</v>
      </c>
      <c r="F19" s="29"/>
      <c r="N19" s="1"/>
      <c r="O19" s="10"/>
    </row>
    <row r="20" spans="1:15" x14ac:dyDescent="0.3">
      <c r="A20" t="s">
        <v>86</v>
      </c>
      <c r="B20" s="36">
        <v>108024302</v>
      </c>
      <c r="C20" s="37"/>
      <c r="D20" s="52">
        <v>4</v>
      </c>
      <c r="E20" s="55">
        <f t="shared" si="2"/>
        <v>27006075.5</v>
      </c>
      <c r="F20" s="29"/>
      <c r="G20" s="29"/>
      <c r="N20" s="1"/>
      <c r="O20" s="10"/>
    </row>
    <row r="21" spans="1:15" x14ac:dyDescent="0.3">
      <c r="A21" t="s">
        <v>87</v>
      </c>
      <c r="B21" s="36">
        <v>435750000</v>
      </c>
      <c r="C21" s="37"/>
      <c r="D21" s="52">
        <v>4</v>
      </c>
      <c r="E21" s="55">
        <f t="shared" si="2"/>
        <v>108937500</v>
      </c>
      <c r="N21" s="1"/>
      <c r="O21" s="10"/>
    </row>
    <row r="22" spans="1:15" ht="15" thickBot="1" x14ac:dyDescent="0.35">
      <c r="A22" s="15" t="s">
        <v>88</v>
      </c>
      <c r="B22" s="38">
        <v>471680832.26249993</v>
      </c>
      <c r="C22" s="39"/>
      <c r="D22" s="53">
        <v>4</v>
      </c>
      <c r="E22" s="57">
        <f t="shared" si="2"/>
        <v>117920208.06562498</v>
      </c>
      <c r="N22" s="1"/>
    </row>
    <row r="23" spans="1:15" ht="15" thickTop="1" x14ac:dyDescent="0.3">
      <c r="N23" s="1"/>
    </row>
    <row r="24" spans="1:15" x14ac:dyDescent="0.3">
      <c r="N24" s="1"/>
    </row>
    <row r="25" spans="1:15" x14ac:dyDescent="0.3">
      <c r="N25" s="1"/>
    </row>
    <row r="26" spans="1:15" x14ac:dyDescent="0.3">
      <c r="N26" s="1"/>
    </row>
    <row r="27" spans="1:15" x14ac:dyDescent="0.3">
      <c r="N27" s="1"/>
    </row>
    <row r="28" spans="1:15" x14ac:dyDescent="0.3">
      <c r="N28" s="1"/>
    </row>
    <row r="29" spans="1:15" x14ac:dyDescent="0.3">
      <c r="N29" s="1"/>
    </row>
    <row r="30" spans="1:15" x14ac:dyDescent="0.3">
      <c r="N30" s="1"/>
    </row>
    <row r="31" spans="1:15" x14ac:dyDescent="0.3">
      <c r="N31" s="1"/>
    </row>
    <row r="32" spans="1:15" x14ac:dyDescent="0.3">
      <c r="N32" s="1"/>
    </row>
    <row r="33" spans="14:14" x14ac:dyDescent="0.3">
      <c r="N33" s="1"/>
    </row>
    <row r="35" spans="14:14" x14ac:dyDescent="0.3">
      <c r="N35" s="12"/>
    </row>
    <row r="36" spans="14:14" x14ac:dyDescent="0.3">
      <c r="N36" s="12"/>
    </row>
    <row r="37" spans="14:14" x14ac:dyDescent="0.3">
      <c r="N37" s="12"/>
    </row>
    <row r="38" spans="14:14" x14ac:dyDescent="0.3">
      <c r="N38" s="12"/>
    </row>
    <row r="39" spans="14:14" x14ac:dyDescent="0.3">
      <c r="N39" s="12"/>
    </row>
    <row r="40" spans="14:14" x14ac:dyDescent="0.3">
      <c r="N40" s="12"/>
    </row>
  </sheetData>
  <mergeCells count="8">
    <mergeCell ref="A16:C16"/>
    <mergeCell ref="B3:D3"/>
    <mergeCell ref="B17:C17"/>
    <mergeCell ref="B18:C18"/>
    <mergeCell ref="B19:C19"/>
    <mergeCell ref="B20:C20"/>
    <mergeCell ref="B21:C21"/>
    <mergeCell ref="B22:C2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flujo pagos</vt:lpstr>
      <vt:lpstr>creditos por cancelar</vt:lpstr>
      <vt:lpstr>ingresos PN</vt:lpstr>
      <vt:lpstr>interes 4,5</vt:lpstr>
      <vt:lpstr>flujo comprometido para inversi</vt:lpstr>
      <vt:lpstr>Cuadro Flujo de Caja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EQUIPO</dc:creator>
  <cp:lastModifiedBy>JR lopez</cp:lastModifiedBy>
  <dcterms:created xsi:type="dcterms:W3CDTF">2022-03-02T18:56:51Z</dcterms:created>
  <dcterms:modified xsi:type="dcterms:W3CDTF">2022-07-16T07:00:08Z</dcterms:modified>
</cp:coreProperties>
</file>