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ACUERDO\para presentar\"/>
    </mc:Choice>
  </mc:AlternateContent>
  <xr:revisionPtr revIDLastSave="0" documentId="13_ncr:1_{3C66A805-8AA6-4C57-9B78-4E56413282AA}" xr6:coauthVersionLast="47" xr6:coauthVersionMax="47" xr10:uidLastSave="{00000000-0000-0000-0000-000000000000}"/>
  <workbookProtection workbookAlgorithmName="SHA-512" workbookHashValue="5bcl0HnrTmw+MbuA+Dj6dfjGWJi1y93x7z7ZSp8pEtNDuotzQNkNflSt0gHArOwnQfCyF54DXavTYX8okx3sYA==" workbookSaltValue="xFsbJCfnLhaNbK9ZmMkcHg==" workbookSpinCount="100000" lockStructure="1"/>
  <bookViews>
    <workbookView xWindow="-120" yWindow="-120" windowWidth="20730" windowHeight="11040" firstSheet="1" activeTab="1" xr2:uid="{3F18E812-83BA-4827-8FAE-B8F5A6DD8A5D}"/>
  </bookViews>
  <sheets>
    <sheet name="Cuadro Flujo de Caja" sheetId="6" r:id="rId1"/>
    <sheet name="creditos por cancelar" sheetId="5" r:id="rId2"/>
    <sheet name="ingresos PN" sheetId="3" r:id="rId3"/>
    <sheet name="interes 4,5" sheetId="2" r:id="rId4"/>
    <sheet name="% flujo comprometido" sheetId="4" r:id="rId5"/>
    <sheet name="postergado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D15" i="2"/>
  <c r="I12" i="2"/>
  <c r="D12" i="2"/>
  <c r="H6" i="7"/>
  <c r="F12" i="2"/>
  <c r="F15" i="2"/>
  <c r="G15" i="2"/>
  <c r="H15" i="2"/>
  <c r="E15" i="2"/>
  <c r="E12" i="2"/>
  <c r="C14" i="2"/>
  <c r="C11" i="2"/>
  <c r="B12" i="2"/>
  <c r="B21" i="2"/>
  <c r="B15" i="2"/>
  <c r="B6" i="2"/>
  <c r="K5" i="6" l="1"/>
  <c r="J5" i="6"/>
  <c r="I5" i="6"/>
  <c r="H5" i="6"/>
  <c r="G5" i="6"/>
  <c r="F5" i="6"/>
  <c r="E5" i="6"/>
  <c r="J8" i="6"/>
  <c r="I8" i="6"/>
  <c r="H7" i="6"/>
  <c r="G7" i="6"/>
  <c r="F6" i="6"/>
  <c r="E6" i="6"/>
  <c r="D15" i="3"/>
  <c r="D16" i="3"/>
  <c r="D17" i="3"/>
  <c r="D18" i="3" s="1"/>
  <c r="D14" i="3"/>
  <c r="D13" i="3"/>
  <c r="E12" i="6" l="1"/>
  <c r="H12" i="6"/>
  <c r="D21" i="2"/>
  <c r="D7" i="4"/>
  <c r="B10" i="4"/>
  <c r="B9" i="4"/>
  <c r="B8" i="4"/>
  <c r="B7" i="4"/>
  <c r="M8" i="6"/>
  <c r="M7" i="6"/>
  <c r="M5" i="6"/>
  <c r="B11" i="5"/>
  <c r="D9" i="4" s="1"/>
  <c r="B10" i="5"/>
  <c r="D8" i="4" s="1"/>
  <c r="B9" i="5"/>
  <c r="M6" i="6" l="1"/>
  <c r="H20" i="2"/>
  <c r="H21" i="2" s="1"/>
  <c r="E21" i="2"/>
  <c r="F20" i="2"/>
  <c r="F21" i="2" s="1"/>
  <c r="E20" i="2"/>
  <c r="G20" i="2" s="1"/>
  <c r="G21" i="2" s="1"/>
  <c r="I17" i="2"/>
  <c r="F12" i="6"/>
  <c r="G12" i="6"/>
  <c r="I12" i="6"/>
  <c r="J12" i="6"/>
  <c r="N38" i="6"/>
  <c r="N37" i="6"/>
  <c r="N36" i="6"/>
  <c r="E11" i="2" l="1"/>
  <c r="C20" i="2"/>
  <c r="B14" i="2"/>
  <c r="B12" i="5"/>
  <c r="K9" i="6" s="1"/>
  <c r="M9" i="6" l="1"/>
  <c r="F11" i="2"/>
  <c r="E7" i="4"/>
  <c r="E8" i="4"/>
  <c r="E9" i="4"/>
  <c r="G11" i="2" l="1"/>
  <c r="G12" i="2" s="1"/>
  <c r="H11" i="2" l="1"/>
  <c r="I21" i="2"/>
  <c r="B14" i="5"/>
  <c r="L11" i="6" s="1"/>
  <c r="M11" i="6" s="1"/>
  <c r="H12" i="2" l="1"/>
  <c r="C17" i="3" l="1"/>
  <c r="D19" i="3" s="1"/>
  <c r="C18" i="3" l="1"/>
  <c r="D20" i="3" s="1"/>
  <c r="H7" i="7"/>
  <c r="H8" i="7"/>
  <c r="B13" i="5"/>
  <c r="D10" i="4" l="1"/>
  <c r="E10" i="4" s="1"/>
  <c r="F10" i="4" s="1"/>
  <c r="L10" i="6"/>
  <c r="L12" i="6" s="1"/>
  <c r="K10" i="6"/>
  <c r="M10" i="6" l="1"/>
  <c r="M12" i="6" s="1"/>
  <c r="K12" i="6"/>
</calcChain>
</file>

<file path=xl/sharedStrings.xml><?xml version="1.0" encoding="utf-8"?>
<sst xmlns="http://schemas.openxmlformats.org/spreadsheetml/2006/main" count="122" uniqueCount="96">
  <si>
    <t>año</t>
  </si>
  <si>
    <t xml:space="preserve">pasivos según </t>
  </si>
  <si>
    <t>prelacion respectiva</t>
  </si>
  <si>
    <t>utilidad neta</t>
  </si>
  <si>
    <t>amortizacion deuda</t>
  </si>
  <si>
    <t>comportamiento</t>
  </si>
  <si>
    <t>del abono a deuda</t>
  </si>
  <si>
    <t>ingresos 25-26</t>
  </si>
  <si>
    <t>pagos 25-26</t>
  </si>
  <si>
    <t>ingresos 27-28</t>
  </si>
  <si>
    <t>pagos 27-28</t>
  </si>
  <si>
    <t>ingresos 29-30</t>
  </si>
  <si>
    <t>inicio intereses</t>
  </si>
  <si>
    <t>juanita</t>
  </si>
  <si>
    <t xml:space="preserve">interes </t>
  </si>
  <si>
    <t>postegado</t>
  </si>
  <si>
    <t xml:space="preserve">despues de </t>
  </si>
  <si>
    <t>luego</t>
  </si>
  <si>
    <t>hernan G</t>
  </si>
  <si>
    <t>P/ años</t>
  </si>
  <si>
    <t>publicos</t>
  </si>
  <si>
    <t>inversion finca</t>
  </si>
  <si>
    <t>creditos de primera clase</t>
  </si>
  <si>
    <t>creditos de tercera clase</t>
  </si>
  <si>
    <t>creditos de quinta clase</t>
  </si>
  <si>
    <t>postergados de primera clase</t>
  </si>
  <si>
    <t>postergados de quinta clase</t>
  </si>
  <si>
    <t>quinta clase</t>
  </si>
  <si>
    <t>ingresos 30-31</t>
  </si>
  <si>
    <t>pagos 31-32</t>
  </si>
  <si>
    <t>pagos 29-30</t>
  </si>
  <si>
    <t>ingreso respectivo</t>
  </si>
  <si>
    <t>pagos realizados</t>
  </si>
  <si>
    <t>postergados de tercera clase</t>
  </si>
  <si>
    <t>Ingresos</t>
  </si>
  <si>
    <t>Primera clase</t>
  </si>
  <si>
    <t>Tercera clase</t>
  </si>
  <si>
    <t>Quinta clase</t>
  </si>
  <si>
    <t>Postergado Publico</t>
  </si>
  <si>
    <t>Postergados Hipotecarios</t>
  </si>
  <si>
    <t>Postergados Quirografarios</t>
  </si>
  <si>
    <t>Total Flujo</t>
  </si>
  <si>
    <t>Total Anual</t>
  </si>
  <si>
    <t>Rubros</t>
  </si>
  <si>
    <t xml:space="preserve"> </t>
  </si>
  <si>
    <t>este flujo que se arma con las utilidades sobrantes año a año del plan de pagos</t>
  </si>
  <si>
    <t>,</t>
  </si>
  <si>
    <t>las inversiones programadas en el plan de negocio de la empresa</t>
  </si>
  <si>
    <t>CUADRO DE OBLIGACIONES POSTERGADAS DE PRIMERA TERCERA Y QUINTA CLASE</t>
  </si>
  <si>
    <t>TABLA DE INGRESOS SEGÚN FLUJO PRESENTADO A LA SUPER EN PLAN DE NEGOCIO</t>
  </si>
  <si>
    <t>SEGÚN LA TASA DE INTERESES PACTADA EN EL ACUERDO DE PAGO</t>
  </si>
  <si>
    <t>TABLA QUE CONTIENE OBLIGACIONES PENDIENTES</t>
  </si>
  <si>
    <t xml:space="preserve">PARA PAGO SEGÚN LO APROBADO EN EL </t>
  </si>
  <si>
    <t>PROYECTO DE CALIFICACION Y GRADUACION</t>
  </si>
  <si>
    <t>DE CREDITOS APROBADA POR JUEZ DE CONCURSO</t>
  </si>
  <si>
    <t>fecha de pago</t>
  </si>
  <si>
    <t>NOMBRE</t>
  </si>
  <si>
    <t>CEDULA/NIT</t>
  </si>
  <si>
    <t>DIRECCION</t>
  </si>
  <si>
    <t>CIUDAD</t>
  </si>
  <si>
    <t>CONCEPTO</t>
  </si>
  <si>
    <t>Inversiones Juanita SAS</t>
  </si>
  <si>
    <t>Hernan Gonzalez</t>
  </si>
  <si>
    <t>medellín</t>
  </si>
  <si>
    <t>interses</t>
  </si>
  <si>
    <t>Fabiola Aristizabal</t>
  </si>
  <si>
    <t>cra 77 # 33a-24</t>
  </si>
  <si>
    <t>cra 77 # 33a-23</t>
  </si>
  <si>
    <t>cl 48 # 53-69 local 249</t>
  </si>
  <si>
    <t>2´369.349</t>
  </si>
  <si>
    <t>32´491.468</t>
  </si>
  <si>
    <t>POSTERGADO</t>
  </si>
  <si>
    <t>art 69 ley 1116/2006</t>
  </si>
  <si>
    <t>art 69 ley 1116/2007</t>
  </si>
  <si>
    <t>art 69 ley 1116/2008</t>
  </si>
  <si>
    <t>CAUSAL/POSTERGACION</t>
  </si>
  <si>
    <t>POSTERGADOS PARA LOS HIPOTECARIOS SEGÚN ACUERDO DE PAGOS PRESENTADO</t>
  </si>
  <si>
    <r>
      <t xml:space="preserve">se destina para </t>
    </r>
    <r>
      <rPr>
        <b/>
        <u/>
        <sz val="11"/>
        <color theme="1"/>
        <rFont val="Calibri"/>
        <family val="2"/>
        <scheme val="minor"/>
      </rPr>
      <t>comprometerlo de manera anticipada</t>
    </r>
    <r>
      <rPr>
        <sz val="11"/>
        <color theme="1"/>
        <rFont val="Calibri"/>
        <family val="2"/>
        <scheme val="minor"/>
      </rPr>
      <t xml:space="preserve"> con el fin de realizar</t>
    </r>
  </si>
  <si>
    <t>nombre</t>
  </si>
  <si>
    <t>P de Gracia</t>
  </si>
  <si>
    <t>Montos totales con pago programado según cláusulas del acuerdo. Fechas de desembolso indicadas encima de los años de pago.</t>
  </si>
  <si>
    <t>tasa</t>
  </si>
  <si>
    <t>mesadas debidas despues del periodo de gracia</t>
  </si>
  <si>
    <t>mesadas</t>
  </si>
  <si>
    <t>intereses</t>
  </si>
  <si>
    <t>esperamos que este año quede aprobado</t>
  </si>
  <si>
    <t>periodo de gracia</t>
  </si>
  <si>
    <t>inicio de pagos prelacion uno</t>
  </si>
  <si>
    <t>pago creditos prelacion tres</t>
  </si>
  <si>
    <t>cancelacion creditos prelacion cinco</t>
  </si>
  <si>
    <t>periodo para pago postergados</t>
  </si>
  <si>
    <t>descripcion de la actividad a realizar</t>
  </si>
  <si>
    <t xml:space="preserve">año </t>
  </si>
  <si>
    <t>diferencia</t>
  </si>
  <si>
    <t>TOTAL monto</t>
  </si>
  <si>
    <t>postergado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</si>
</sst>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15">
    <xf numFmtId="0" fontId="0" fillId="0" borderId="0" xfId="0"/>
    <xf numFmtId="41" fontId="0" fillId="0" borderId="0" xfId="1" applyFont="1"/>
    <xf numFmtId="0" fontId="0" fillId="0" borderId="0" xfId="0" applyAlignment="1">
      <alignment horizontal="center"/>
    </xf>
    <xf numFmtId="41" fontId="0" fillId="0" borderId="0" xfId="0" applyNumberFormat="1"/>
    <xf numFmtId="0" fontId="2" fillId="0" borderId="0" xfId="0" applyFont="1" applyAlignment="1">
      <alignment horizontal="center"/>
    </xf>
    <xf numFmtId="17" fontId="0" fillId="0" borderId="0" xfId="0" applyNumberFormat="1"/>
    <xf numFmtId="14" fontId="0" fillId="0" borderId="0" xfId="0" applyNumberFormat="1"/>
    <xf numFmtId="42" fontId="0" fillId="0" borderId="0" xfId="2" applyFont="1"/>
    <xf numFmtId="0" fontId="2" fillId="0" borderId="0" xfId="0" applyFont="1"/>
    <xf numFmtId="41" fontId="3" fillId="0" borderId="0" xfId="1" applyFont="1"/>
    <xf numFmtId="0" fontId="0" fillId="0" borderId="3" xfId="0" applyBorder="1"/>
    <xf numFmtId="0" fontId="0" fillId="0" borderId="5" xfId="0" applyBorder="1"/>
    <xf numFmtId="0" fontId="0" fillId="3" borderId="4" xfId="0" applyFill="1" applyBorder="1"/>
    <xf numFmtId="0" fontId="0" fillId="3" borderId="0" xfId="0" applyFill="1"/>
    <xf numFmtId="0" fontId="0" fillId="0" borderId="0" xfId="0" applyBorder="1"/>
    <xf numFmtId="42" fontId="0" fillId="4" borderId="2" xfId="2" applyFont="1" applyFill="1" applyBorder="1"/>
    <xf numFmtId="42" fontId="0" fillId="4" borderId="6" xfId="2" applyFont="1" applyFill="1" applyBorder="1"/>
    <xf numFmtId="42" fontId="0" fillId="0" borderId="7" xfId="2" applyFont="1" applyBorder="1"/>
    <xf numFmtId="42" fontId="0" fillId="0" borderId="1" xfId="2" applyFont="1" applyBorder="1"/>
    <xf numFmtId="42" fontId="0" fillId="4" borderId="8" xfId="2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0" xfId="0" applyFill="1" applyBorder="1"/>
    <xf numFmtId="0" fontId="0" fillId="3" borderId="14" xfId="0" applyFill="1" applyBorder="1"/>
    <xf numFmtId="0" fontId="0" fillId="3" borderId="7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5" xfId="0" applyFill="1" applyBorder="1"/>
    <xf numFmtId="17" fontId="0" fillId="3" borderId="16" xfId="0" applyNumberFormat="1" applyFill="1" applyBorder="1"/>
    <xf numFmtId="0" fontId="0" fillId="0" borderId="17" xfId="0" applyFill="1" applyBorder="1"/>
    <xf numFmtId="0" fontId="0" fillId="0" borderId="17" xfId="0" applyBorder="1"/>
    <xf numFmtId="0" fontId="0" fillId="0" borderId="0" xfId="0" applyAlignment="1"/>
    <xf numFmtId="0" fontId="0" fillId="5" borderId="13" xfId="0" applyFill="1" applyBorder="1"/>
    <xf numFmtId="41" fontId="6" fillId="6" borderId="0" xfId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8" fillId="2" borderId="13" xfId="0" applyFont="1" applyFill="1" applyBorder="1" applyAlignment="1">
      <alignment horizontal="center" vertical="center"/>
    </xf>
    <xf numFmtId="0" fontId="7" fillId="0" borderId="13" xfId="0" applyFont="1" applyBorder="1"/>
    <xf numFmtId="3" fontId="7" fillId="0" borderId="13" xfId="0" applyNumberFormat="1" applyFont="1" applyBorder="1" applyAlignment="1">
      <alignment horizontal="left"/>
    </xf>
    <xf numFmtId="41" fontId="7" fillId="0" borderId="13" xfId="1" applyFont="1" applyBorder="1"/>
    <xf numFmtId="0" fontId="2" fillId="0" borderId="13" xfId="0" applyFont="1" applyBorder="1" applyAlignment="1">
      <alignment horizontal="center"/>
    </xf>
    <xf numFmtId="41" fontId="2" fillId="0" borderId="0" xfId="0" applyNumberFormat="1" applyFont="1"/>
    <xf numFmtId="0" fontId="2" fillId="0" borderId="13" xfId="0" applyFont="1" applyBorder="1"/>
    <xf numFmtId="41" fontId="2" fillId="0" borderId="0" xfId="1" applyFont="1"/>
    <xf numFmtId="41" fontId="2" fillId="0" borderId="13" xfId="0" applyNumberFormat="1" applyFont="1" applyBorder="1"/>
    <xf numFmtId="41" fontId="2" fillId="0" borderId="13" xfId="1" applyFont="1" applyBorder="1"/>
    <xf numFmtId="42" fontId="0" fillId="0" borderId="0" xfId="0" applyNumberFormat="1"/>
    <xf numFmtId="17" fontId="0" fillId="4" borderId="9" xfId="0" applyNumberFormat="1" applyFill="1" applyBorder="1"/>
    <xf numFmtId="0" fontId="0" fillId="0" borderId="13" xfId="0" applyBorder="1"/>
    <xf numFmtId="0" fontId="0" fillId="0" borderId="28" xfId="0" applyBorder="1"/>
    <xf numFmtId="42" fontId="0" fillId="0" borderId="29" xfId="2" applyFont="1" applyBorder="1"/>
    <xf numFmtId="0" fontId="0" fillId="0" borderId="30" xfId="0" applyBorder="1"/>
    <xf numFmtId="42" fontId="0" fillId="0" borderId="31" xfId="2" applyFont="1" applyBorder="1"/>
    <xf numFmtId="0" fontId="0" fillId="0" borderId="32" xfId="0" applyBorder="1"/>
    <xf numFmtId="42" fontId="0" fillId="0" borderId="33" xfId="2" applyFont="1" applyBorder="1"/>
    <xf numFmtId="41" fontId="0" fillId="7" borderId="0" xfId="1" applyFont="1" applyFill="1"/>
    <xf numFmtId="0" fontId="0" fillId="7" borderId="0" xfId="0" applyFill="1"/>
    <xf numFmtId="41" fontId="0" fillId="7" borderId="0" xfId="0" applyNumberFormat="1" applyFill="1"/>
    <xf numFmtId="41" fontId="0" fillId="4" borderId="0" xfId="1" applyFont="1" applyFill="1"/>
    <xf numFmtId="41" fontId="0" fillId="4" borderId="0" xfId="0" applyNumberFormat="1" applyFill="1"/>
    <xf numFmtId="0" fontId="0" fillId="4" borderId="0" xfId="0" applyFill="1"/>
    <xf numFmtId="0" fontId="0" fillId="5" borderId="0" xfId="0" applyFill="1"/>
    <xf numFmtId="41" fontId="0" fillId="5" borderId="0" xfId="1" applyFont="1" applyFill="1"/>
    <xf numFmtId="41" fontId="0" fillId="9" borderId="0" xfId="1" applyFont="1" applyFill="1"/>
    <xf numFmtId="0" fontId="0" fillId="9" borderId="0" xfId="0" applyFill="1"/>
    <xf numFmtId="41" fontId="0" fillId="9" borderId="0" xfId="0" applyNumberFormat="1" applyFill="1"/>
    <xf numFmtId="41" fontId="0" fillId="0" borderId="13" xfId="1" applyFont="1" applyFill="1" applyBorder="1"/>
    <xf numFmtId="41" fontId="0" fillId="0" borderId="13" xfId="0" applyNumberFormat="1" applyBorder="1"/>
    <xf numFmtId="0" fontId="0" fillId="0" borderId="13" xfId="0" applyFill="1" applyBorder="1"/>
    <xf numFmtId="0" fontId="0" fillId="0" borderId="28" xfId="0" applyBorder="1" applyAlignment="1">
      <alignment horizontal="center" vertical="center"/>
    </xf>
    <xf numFmtId="0" fontId="0" fillId="0" borderId="37" xfId="0" applyBorder="1"/>
    <xf numFmtId="0" fontId="0" fillId="4" borderId="20" xfId="0" applyFill="1" applyBorder="1"/>
    <xf numFmtId="0" fontId="0" fillId="4" borderId="21" xfId="0" applyFill="1" applyBorder="1"/>
    <xf numFmtId="0" fontId="0" fillId="0" borderId="30" xfId="0" applyBorder="1" applyAlignment="1">
      <alignment horizontal="center" vertical="center"/>
    </xf>
    <xf numFmtId="0" fontId="0" fillId="4" borderId="0" xfId="0" applyFill="1" applyBorder="1"/>
    <xf numFmtId="0" fontId="0" fillId="4" borderId="23" xfId="0" applyFill="1" applyBorder="1"/>
    <xf numFmtId="0" fontId="0" fillId="0" borderId="32" xfId="0" applyBorder="1" applyAlignment="1">
      <alignment horizontal="center" vertical="center"/>
    </xf>
    <xf numFmtId="0" fontId="0" fillId="0" borderId="38" xfId="0" applyBorder="1"/>
    <xf numFmtId="41" fontId="0" fillId="0" borderId="38" xfId="0" applyNumberFormat="1" applyBorder="1"/>
    <xf numFmtId="0" fontId="0" fillId="4" borderId="25" xfId="0" applyFill="1" applyBorder="1"/>
    <xf numFmtId="0" fontId="0" fillId="4" borderId="26" xfId="0" applyFill="1" applyBorder="1"/>
    <xf numFmtId="0" fontId="0" fillId="0" borderId="0" xfId="0" applyBorder="1" applyAlignment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0" fillId="0" borderId="27" xfId="0" applyBorder="1" applyAlignment="1"/>
    <xf numFmtId="0" fontId="0" fillId="0" borderId="42" xfId="0" applyBorder="1"/>
    <xf numFmtId="0" fontId="0" fillId="0" borderId="42" xfId="0" applyFill="1" applyBorder="1"/>
    <xf numFmtId="0" fontId="0" fillId="3" borderId="43" xfId="0" applyFill="1" applyBorder="1"/>
    <xf numFmtId="0" fontId="4" fillId="0" borderId="41" xfId="0" applyFont="1" applyBorder="1"/>
    <xf numFmtId="0" fontId="0" fillId="0" borderId="41" xfId="0" applyBorder="1"/>
    <xf numFmtId="42" fontId="0" fillId="0" borderId="0" xfId="2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1" fontId="2" fillId="0" borderId="39" xfId="1" applyFont="1" applyBorder="1" applyAlignment="1">
      <alignment horizontal="center" vertical="center"/>
    </xf>
    <xf numFmtId="41" fontId="2" fillId="0" borderId="40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0" fillId="10" borderId="0" xfId="0" applyNumberFormat="1" applyFill="1"/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E59E-71A1-4937-94DE-9CB28FE015FC}">
  <dimension ref="A1:O38"/>
  <sheetViews>
    <sheetView topLeftCell="A2" workbookViewId="0">
      <selection activeCell="I19" sqref="I19"/>
    </sheetView>
  </sheetViews>
  <sheetFormatPr baseColWidth="10" defaultColWidth="9.140625" defaultRowHeight="15" x14ac:dyDescent="0.25"/>
  <cols>
    <col min="1" max="1" width="18" customWidth="1"/>
    <col min="2" max="2" width="6.42578125" bestFit="1" customWidth="1"/>
    <col min="3" max="4" width="5" bestFit="1" customWidth="1"/>
    <col min="5" max="5" width="13.28515625" bestFit="1" customWidth="1"/>
    <col min="6" max="9" width="14" bestFit="1" customWidth="1"/>
    <col min="10" max="11" width="15.5703125" bestFit="1" customWidth="1"/>
    <col min="12" max="12" width="14" bestFit="1" customWidth="1"/>
    <col min="13" max="14" width="15.5703125" bestFit="1" customWidth="1"/>
    <col min="18" max="18" width="12" bestFit="1" customWidth="1"/>
  </cols>
  <sheetData>
    <row r="1" spans="1:15" x14ac:dyDescent="0.25">
      <c r="E1" s="32" t="s">
        <v>55</v>
      </c>
      <c r="F1" s="32" t="s">
        <v>55</v>
      </c>
      <c r="G1" s="32" t="s">
        <v>55</v>
      </c>
      <c r="H1" s="32" t="s">
        <v>55</v>
      </c>
      <c r="I1" s="32" t="s">
        <v>55</v>
      </c>
      <c r="J1" s="32" t="s">
        <v>55</v>
      </c>
      <c r="K1" s="32" t="s">
        <v>55</v>
      </c>
      <c r="L1" s="32" t="s">
        <v>55</v>
      </c>
    </row>
    <row r="2" spans="1:15" x14ac:dyDescent="0.25">
      <c r="E2" s="5">
        <v>11110</v>
      </c>
      <c r="F2" s="5">
        <v>11110</v>
      </c>
      <c r="G2" s="5">
        <v>11110</v>
      </c>
      <c r="H2" s="5">
        <v>11110</v>
      </c>
      <c r="I2" s="5">
        <v>11110</v>
      </c>
      <c r="J2" s="5">
        <v>11110</v>
      </c>
      <c r="K2" s="5">
        <v>11110</v>
      </c>
      <c r="L2" s="5">
        <v>11110</v>
      </c>
    </row>
    <row r="3" spans="1:15" ht="15.75" thickBot="1" x14ac:dyDescent="0.3">
      <c r="B3" s="30"/>
      <c r="C3" s="92" t="s">
        <v>79</v>
      </c>
      <c r="D3" s="93"/>
      <c r="E3" s="5">
        <v>11658</v>
      </c>
      <c r="F3" s="5">
        <v>11658</v>
      </c>
      <c r="G3" s="5">
        <v>11658</v>
      </c>
      <c r="H3" s="5">
        <v>11658</v>
      </c>
      <c r="I3" s="5">
        <v>11658</v>
      </c>
      <c r="J3" s="5">
        <v>11658</v>
      </c>
      <c r="K3" s="5">
        <v>11658</v>
      </c>
      <c r="L3" s="5">
        <v>11658</v>
      </c>
    </row>
    <row r="4" spans="1:15" ht="15.75" thickBot="1" x14ac:dyDescent="0.3">
      <c r="A4" s="20" t="s">
        <v>43</v>
      </c>
      <c r="B4" s="29">
        <v>2022</v>
      </c>
      <c r="C4" s="23">
        <v>2023</v>
      </c>
      <c r="D4" s="12">
        <v>2024</v>
      </c>
      <c r="E4" s="10">
        <v>2025</v>
      </c>
      <c r="F4" s="10">
        <v>2026</v>
      </c>
      <c r="G4" s="10">
        <v>2027</v>
      </c>
      <c r="H4" s="10">
        <v>2028</v>
      </c>
      <c r="I4" s="10">
        <v>2029</v>
      </c>
      <c r="J4" s="10">
        <v>2030</v>
      </c>
      <c r="K4" s="10">
        <v>2031</v>
      </c>
      <c r="L4" s="10">
        <v>2032</v>
      </c>
      <c r="M4" s="11" t="s">
        <v>41</v>
      </c>
    </row>
    <row r="5" spans="1:15" ht="15.75" thickBot="1" x14ac:dyDescent="0.3">
      <c r="A5" s="21" t="s">
        <v>34</v>
      </c>
      <c r="B5" s="46">
        <v>42278</v>
      </c>
      <c r="C5" s="27"/>
      <c r="D5" s="28"/>
      <c r="E5" s="15">
        <f>'ingresos PN'!B11</f>
        <v>48807303</v>
      </c>
      <c r="F5" s="15">
        <f>'ingresos PN'!B12</f>
        <v>211987058</v>
      </c>
      <c r="G5" s="15">
        <f>'ingresos PN'!B13</f>
        <v>430198206</v>
      </c>
      <c r="H5" s="15">
        <f>'ingresos PN'!B14</f>
        <v>699064688</v>
      </c>
      <c r="I5" s="15">
        <f>'ingresos PN'!B15</f>
        <v>694846285</v>
      </c>
      <c r="J5" s="15">
        <f>'ingresos PN'!B16</f>
        <v>1136292665</v>
      </c>
      <c r="K5" s="15">
        <f>'ingresos PN'!B17</f>
        <v>1702961919</v>
      </c>
      <c r="L5" s="15"/>
      <c r="M5" s="16">
        <f t="shared" ref="M5:M10" si="0">SUM(E5:L5)</f>
        <v>4924158124</v>
      </c>
      <c r="O5" s="5"/>
    </row>
    <row r="6" spans="1:15" ht="15.75" thickTop="1" x14ac:dyDescent="0.25">
      <c r="A6" s="14" t="s">
        <v>35</v>
      </c>
      <c r="B6" s="22"/>
      <c r="C6" s="24"/>
      <c r="D6" s="25"/>
      <c r="E6" s="7">
        <f>('creditos por cancelar'!B9/4)*2</f>
        <v>86303501.5</v>
      </c>
      <c r="F6" s="7">
        <f>('creditos por cancelar'!B9/4)*2</f>
        <v>86303501.5</v>
      </c>
      <c r="G6" s="7"/>
      <c r="H6" s="7"/>
      <c r="I6" s="7"/>
      <c r="J6" s="7"/>
      <c r="K6" s="7"/>
      <c r="L6" s="7"/>
      <c r="M6" s="17">
        <f t="shared" si="0"/>
        <v>172607003</v>
      </c>
      <c r="O6" s="5"/>
    </row>
    <row r="7" spans="1:15" x14ac:dyDescent="0.25">
      <c r="A7" s="14" t="s">
        <v>36</v>
      </c>
      <c r="B7" s="22"/>
      <c r="C7" s="24"/>
      <c r="D7" s="25"/>
      <c r="E7" s="7"/>
      <c r="F7" s="7"/>
      <c r="G7" s="7">
        <f>('creditos por cancelar'!B10/4)*2</f>
        <v>400000000</v>
      </c>
      <c r="H7" s="7">
        <f>('creditos por cancelar'!B10/4)*2</f>
        <v>400000000</v>
      </c>
      <c r="I7" s="7"/>
      <c r="J7" s="7"/>
      <c r="K7" s="7"/>
      <c r="L7" s="7"/>
      <c r="M7" s="17">
        <f t="shared" si="0"/>
        <v>800000000</v>
      </c>
      <c r="O7" s="5"/>
    </row>
    <row r="8" spans="1:15" x14ac:dyDescent="0.25">
      <c r="A8" s="14" t="s">
        <v>37</v>
      </c>
      <c r="B8" s="22"/>
      <c r="C8" s="24"/>
      <c r="D8" s="25"/>
      <c r="E8" s="7"/>
      <c r="F8" s="7"/>
      <c r="G8" s="7"/>
      <c r="H8" s="7"/>
      <c r="I8" s="7">
        <f>('creditos por cancelar'!B11/4)*2</f>
        <v>598959787</v>
      </c>
      <c r="J8" s="7">
        <f>('creditos por cancelar'!B11/4)*2</f>
        <v>598959787</v>
      </c>
      <c r="K8" s="7"/>
      <c r="L8" s="7"/>
      <c r="M8" s="17">
        <f t="shared" si="0"/>
        <v>1197919574</v>
      </c>
    </row>
    <row r="9" spans="1:15" x14ac:dyDescent="0.25">
      <c r="A9" s="14" t="s">
        <v>38</v>
      </c>
      <c r="B9" s="22"/>
      <c r="C9" s="24"/>
      <c r="D9" s="25"/>
      <c r="E9" s="7"/>
      <c r="F9" s="7"/>
      <c r="G9" s="7"/>
      <c r="H9" s="7"/>
      <c r="I9" s="7"/>
      <c r="J9" s="7"/>
      <c r="K9" s="7">
        <f>'creditos por cancelar'!B12</f>
        <v>108024302</v>
      </c>
      <c r="L9" s="7"/>
      <c r="M9" s="17">
        <f t="shared" si="0"/>
        <v>108024302</v>
      </c>
    </row>
    <row r="10" spans="1:15" x14ac:dyDescent="0.25">
      <c r="A10" s="14" t="s">
        <v>39</v>
      </c>
      <c r="B10" s="22"/>
      <c r="C10" s="24"/>
      <c r="D10" s="25"/>
      <c r="E10" s="7"/>
      <c r="F10" s="7"/>
      <c r="G10" s="7"/>
      <c r="H10" s="7"/>
      <c r="I10" s="7"/>
      <c r="J10" s="7"/>
      <c r="K10" s="7">
        <f>'creditos por cancelar'!B13/2</f>
        <v>158625000</v>
      </c>
      <c r="L10" s="7">
        <f>'creditos por cancelar'!B13/2</f>
        <v>158625000</v>
      </c>
      <c r="M10" s="17">
        <f t="shared" si="0"/>
        <v>317250000</v>
      </c>
      <c r="O10" s="5"/>
    </row>
    <row r="11" spans="1:15" x14ac:dyDescent="0.25">
      <c r="A11" s="14" t="s">
        <v>40</v>
      </c>
      <c r="B11" s="22"/>
      <c r="C11" s="24"/>
      <c r="D11" s="25"/>
      <c r="E11" s="7"/>
      <c r="F11" s="7"/>
      <c r="G11" s="7"/>
      <c r="H11" s="7"/>
      <c r="I11" s="7"/>
      <c r="J11" s="7"/>
      <c r="K11" s="7"/>
      <c r="L11" s="7">
        <f>'creditos por cancelar'!B14</f>
        <v>471680832.26249993</v>
      </c>
      <c r="M11" s="17">
        <f t="shared" ref="M11" si="1">SUM(E11:L11)</f>
        <v>471680832.26249993</v>
      </c>
      <c r="O11" s="5"/>
    </row>
    <row r="12" spans="1:15" ht="15.75" thickBot="1" x14ac:dyDescent="0.3">
      <c r="A12" s="86" t="s">
        <v>42</v>
      </c>
      <c r="B12" s="87"/>
      <c r="C12" s="88"/>
      <c r="D12" s="26"/>
      <c r="E12" s="18">
        <f>E5-(SUM(E6:E11))</f>
        <v>-37496198.5</v>
      </c>
      <c r="F12" s="18">
        <f t="shared" ref="F12:L12" si="2">F5-(SUM(F6:F11))</f>
        <v>125683556.5</v>
      </c>
      <c r="G12" s="18">
        <f t="shared" si="2"/>
        <v>30198206</v>
      </c>
      <c r="H12" s="18">
        <f t="shared" si="2"/>
        <v>299064688</v>
      </c>
      <c r="I12" s="18">
        <f t="shared" si="2"/>
        <v>95886498</v>
      </c>
      <c r="J12" s="18">
        <f t="shared" si="2"/>
        <v>537332878</v>
      </c>
      <c r="K12" s="18">
        <f t="shared" si="2"/>
        <v>1436312617</v>
      </c>
      <c r="L12" s="18">
        <f t="shared" si="2"/>
        <v>-630305832.26249993</v>
      </c>
      <c r="M12" s="19">
        <f>M5-(SUM(M6:M11))</f>
        <v>1856676412.7375002</v>
      </c>
      <c r="N12" s="1"/>
      <c r="O12" s="5"/>
    </row>
    <row r="13" spans="1:15" ht="15.75" thickBot="1" x14ac:dyDescent="0.3">
      <c r="A13" s="89" t="s">
        <v>80</v>
      </c>
      <c r="B13" s="90"/>
      <c r="C13" s="90"/>
      <c r="N13" s="1"/>
      <c r="O13" s="5"/>
    </row>
    <row r="14" spans="1:15" ht="15.75" thickTop="1" x14ac:dyDescent="0.25">
      <c r="A14" s="85"/>
      <c r="B14" s="85"/>
      <c r="C14" s="85"/>
      <c r="N14" s="1"/>
    </row>
    <row r="15" spans="1:15" x14ac:dyDescent="0.25">
      <c r="A15" s="14"/>
      <c r="B15" s="91"/>
      <c r="C15" s="91"/>
      <c r="N15" s="1"/>
    </row>
    <row r="16" spans="1:15" x14ac:dyDescent="0.25">
      <c r="A16" s="14"/>
      <c r="B16" s="91"/>
      <c r="C16" s="91"/>
      <c r="F16" s="45"/>
      <c r="G16" s="45"/>
      <c r="I16" s="45"/>
      <c r="N16" s="1"/>
      <c r="O16" s="5"/>
    </row>
    <row r="17" spans="1:15" x14ac:dyDescent="0.25">
      <c r="A17" s="14"/>
      <c r="B17" s="91"/>
      <c r="C17" s="91"/>
      <c r="N17" s="1"/>
      <c r="O17" s="5"/>
    </row>
    <row r="18" spans="1:15" x14ac:dyDescent="0.25">
      <c r="A18" s="14"/>
      <c r="B18" s="91"/>
      <c r="C18" s="91"/>
      <c r="I18" t="s">
        <v>44</v>
      </c>
      <c r="N18" s="1"/>
      <c r="O18" s="5"/>
    </row>
    <row r="19" spans="1:15" x14ac:dyDescent="0.25">
      <c r="A19" s="14"/>
      <c r="B19" s="91"/>
      <c r="C19" s="91"/>
      <c r="N19" s="1"/>
      <c r="O19" s="5"/>
    </row>
    <row r="20" spans="1:15" x14ac:dyDescent="0.25">
      <c r="A20" s="14"/>
      <c r="B20" s="91"/>
      <c r="C20" s="91"/>
      <c r="E20" s="14"/>
      <c r="N20" s="1"/>
    </row>
    <row r="21" spans="1:15" x14ac:dyDescent="0.25">
      <c r="N21" s="1"/>
    </row>
    <row r="22" spans="1:15" x14ac:dyDescent="0.25">
      <c r="N22" s="1"/>
    </row>
    <row r="23" spans="1:15" x14ac:dyDescent="0.25">
      <c r="N23" s="1"/>
    </row>
    <row r="24" spans="1:15" x14ac:dyDescent="0.25">
      <c r="N24" s="1"/>
    </row>
    <row r="25" spans="1:15" x14ac:dyDescent="0.25">
      <c r="N25" s="1"/>
    </row>
    <row r="26" spans="1:15" x14ac:dyDescent="0.25">
      <c r="N26" s="1"/>
    </row>
    <row r="27" spans="1:15" x14ac:dyDescent="0.25">
      <c r="N27" s="1"/>
    </row>
    <row r="28" spans="1:15" x14ac:dyDescent="0.25">
      <c r="N28" s="1"/>
    </row>
    <row r="29" spans="1:15" x14ac:dyDescent="0.25">
      <c r="N29" s="1"/>
    </row>
    <row r="30" spans="1:15" x14ac:dyDescent="0.25">
      <c r="N30" s="1"/>
    </row>
    <row r="31" spans="1:15" x14ac:dyDescent="0.25">
      <c r="N31" s="1"/>
    </row>
    <row r="33" spans="13:14" x14ac:dyDescent="0.25">
      <c r="M33" t="s">
        <v>22</v>
      </c>
      <c r="N33" s="7">
        <v>172607003</v>
      </c>
    </row>
    <row r="34" spans="13:14" x14ac:dyDescent="0.25">
      <c r="M34" t="s">
        <v>23</v>
      </c>
      <c r="N34" s="7">
        <v>800000000</v>
      </c>
    </row>
    <row r="35" spans="13:14" x14ac:dyDescent="0.25">
      <c r="M35" t="s">
        <v>24</v>
      </c>
      <c r="N35" s="7">
        <v>1197919574</v>
      </c>
    </row>
    <row r="36" spans="13:14" x14ac:dyDescent="0.25">
      <c r="M36" t="s">
        <v>25</v>
      </c>
      <c r="N36" s="7">
        <f>'interes 4,5'!W44</f>
        <v>0</v>
      </c>
    </row>
    <row r="37" spans="13:14" x14ac:dyDescent="0.25">
      <c r="M37" t="s">
        <v>33</v>
      </c>
      <c r="N37" s="7">
        <f>'interes 4,5'!W39+'interes 4,5'!W41</f>
        <v>0</v>
      </c>
    </row>
    <row r="38" spans="13:14" x14ac:dyDescent="0.25">
      <c r="M38" t="s">
        <v>26</v>
      </c>
      <c r="N38" s="7">
        <f>'interes 4,5'!W48</f>
        <v>0</v>
      </c>
    </row>
  </sheetData>
  <mergeCells count="7">
    <mergeCell ref="B20:C20"/>
    <mergeCell ref="B15:C15"/>
    <mergeCell ref="C3:D3"/>
    <mergeCell ref="B16:C16"/>
    <mergeCell ref="B17:C17"/>
    <mergeCell ref="B18:C18"/>
    <mergeCell ref="B19:C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5C00-4301-451E-85A2-B7216D922984}">
  <dimension ref="A1:C14"/>
  <sheetViews>
    <sheetView tabSelected="1" workbookViewId="0">
      <selection activeCell="E17" sqref="E17"/>
    </sheetView>
  </sheetViews>
  <sheetFormatPr baseColWidth="10" defaultColWidth="11.5703125" defaultRowHeight="15" x14ac:dyDescent="0.25"/>
  <cols>
    <col min="1" max="1" width="27.28515625" bestFit="1" customWidth="1"/>
    <col min="2" max="2" width="23.5703125" customWidth="1"/>
    <col min="3" max="3" width="15.5703125" bestFit="1" customWidth="1"/>
  </cols>
  <sheetData>
    <row r="1" spans="1:3" ht="15.75" thickBot="1" x14ac:dyDescent="0.3"/>
    <row r="2" spans="1:3" x14ac:dyDescent="0.25">
      <c r="A2" s="94" t="s">
        <v>51</v>
      </c>
      <c r="B2" s="95"/>
    </row>
    <row r="3" spans="1:3" x14ac:dyDescent="0.25">
      <c r="A3" s="96" t="s">
        <v>52</v>
      </c>
      <c r="B3" s="97"/>
    </row>
    <row r="4" spans="1:3" x14ac:dyDescent="0.25">
      <c r="A4" s="96" t="s">
        <v>53</v>
      </c>
      <c r="B4" s="97"/>
    </row>
    <row r="5" spans="1:3" ht="15.75" thickBot="1" x14ac:dyDescent="0.3">
      <c r="A5" s="98" t="s">
        <v>54</v>
      </c>
      <c r="B5" s="99"/>
    </row>
    <row r="6" spans="1:3" x14ac:dyDescent="0.25">
      <c r="A6" s="2"/>
      <c r="B6" s="2"/>
    </row>
    <row r="7" spans="1:3" x14ac:dyDescent="0.25">
      <c r="A7" s="2"/>
      <c r="B7" s="2"/>
    </row>
    <row r="8" spans="1:3" ht="15.75" thickBot="1" x14ac:dyDescent="0.3">
      <c r="A8" s="2"/>
      <c r="B8" s="2"/>
    </row>
    <row r="9" spans="1:3" x14ac:dyDescent="0.25">
      <c r="A9" s="48" t="s">
        <v>22</v>
      </c>
      <c r="B9" s="49">
        <f>'ingresos PN'!C13</f>
        <v>172607003</v>
      </c>
    </row>
    <row r="10" spans="1:3" x14ac:dyDescent="0.25">
      <c r="A10" s="50" t="s">
        <v>23</v>
      </c>
      <c r="B10" s="51">
        <f>'ingresos PN'!C14</f>
        <v>800000000</v>
      </c>
    </row>
    <row r="11" spans="1:3" x14ac:dyDescent="0.25">
      <c r="A11" s="50" t="s">
        <v>24</v>
      </c>
      <c r="B11" s="51">
        <f>'ingresos PN'!C15</f>
        <v>1197919574</v>
      </c>
      <c r="C11" s="45"/>
    </row>
    <row r="12" spans="1:3" x14ac:dyDescent="0.25">
      <c r="A12" s="50" t="s">
        <v>25</v>
      </c>
      <c r="B12" s="51">
        <f>'interes 4,5'!I17</f>
        <v>108024302</v>
      </c>
    </row>
    <row r="13" spans="1:3" x14ac:dyDescent="0.25">
      <c r="A13" s="50" t="s">
        <v>33</v>
      </c>
      <c r="B13" s="51">
        <f>'interes 4,5'!I12+'interes 4,5'!I15</f>
        <v>317250000</v>
      </c>
      <c r="C13" s="45"/>
    </row>
    <row r="14" spans="1:3" ht="15.75" thickBot="1" x14ac:dyDescent="0.3">
      <c r="A14" s="52" t="s">
        <v>26</v>
      </c>
      <c r="B14" s="53">
        <f>'interes 4,5'!I21</f>
        <v>471680832.26249993</v>
      </c>
    </row>
  </sheetData>
  <mergeCells count="4">
    <mergeCell ref="A2:B2"/>
    <mergeCell ref="A3:B3"/>
    <mergeCell ref="A4:B4"/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57FBC-F271-4951-A11F-B802654F522E}">
  <dimension ref="A1:F20"/>
  <sheetViews>
    <sheetView workbookViewId="0">
      <selection activeCell="H7" sqref="H7"/>
    </sheetView>
  </sheetViews>
  <sheetFormatPr baseColWidth="10" defaultColWidth="11.5703125" defaultRowHeight="15" x14ac:dyDescent="0.25"/>
  <cols>
    <col min="1" max="1" width="13.5703125" customWidth="1"/>
    <col min="2" max="2" width="20.5703125" customWidth="1"/>
    <col min="3" max="3" width="19" bestFit="1" customWidth="1"/>
    <col min="4" max="4" width="20.85546875" customWidth="1"/>
    <col min="5" max="5" width="37.42578125" bestFit="1" customWidth="1"/>
    <col min="6" max="6" width="5" bestFit="1" customWidth="1"/>
  </cols>
  <sheetData>
    <row r="1" spans="1:6" ht="15.75" thickBot="1" x14ac:dyDescent="0.3"/>
    <row r="2" spans="1:6" ht="15.75" thickBot="1" x14ac:dyDescent="0.3">
      <c r="A2" s="100" t="s">
        <v>49</v>
      </c>
      <c r="B2" s="101"/>
      <c r="C2" s="101"/>
      <c r="D2" s="101"/>
      <c r="E2" s="101"/>
      <c r="F2" s="102"/>
    </row>
    <row r="3" spans="1:6" x14ac:dyDescent="0.25">
      <c r="A3" s="2"/>
      <c r="B3" s="80"/>
      <c r="C3" s="80"/>
      <c r="D3" s="2"/>
    </row>
    <row r="4" spans="1:6" x14ac:dyDescent="0.25">
      <c r="A4" s="2"/>
      <c r="B4" s="2"/>
      <c r="C4" s="2"/>
      <c r="D4" s="2"/>
    </row>
    <row r="5" spans="1:6" ht="15.75" thickBot="1" x14ac:dyDescent="0.3">
      <c r="A5" s="2"/>
      <c r="B5" s="2"/>
      <c r="C5" s="2"/>
      <c r="D5" s="2"/>
    </row>
    <row r="6" spans="1:6" x14ac:dyDescent="0.25">
      <c r="A6" s="103" t="s">
        <v>0</v>
      </c>
      <c r="B6" s="81" t="s">
        <v>3</v>
      </c>
      <c r="C6" s="81" t="s">
        <v>1</v>
      </c>
      <c r="D6" s="83" t="s">
        <v>5</v>
      </c>
      <c r="E6" s="103" t="s">
        <v>91</v>
      </c>
      <c r="F6" s="105" t="s">
        <v>0</v>
      </c>
    </row>
    <row r="7" spans="1:6" ht="15.75" thickBot="1" x14ac:dyDescent="0.3">
      <c r="A7" s="104"/>
      <c r="B7" s="82" t="s">
        <v>4</v>
      </c>
      <c r="C7" s="82" t="s">
        <v>2</v>
      </c>
      <c r="D7" s="84" t="s">
        <v>6</v>
      </c>
      <c r="E7" s="104"/>
      <c r="F7" s="106"/>
    </row>
    <row r="9" spans="1:6" ht="15.75" thickBot="1" x14ac:dyDescent="0.3"/>
    <row r="10" spans="1:6" x14ac:dyDescent="0.25">
      <c r="A10" s="68">
        <v>2022</v>
      </c>
      <c r="B10" s="69"/>
      <c r="C10" s="69"/>
      <c r="D10" s="69"/>
      <c r="E10" s="70" t="s">
        <v>85</v>
      </c>
      <c r="F10" s="71">
        <v>2022</v>
      </c>
    </row>
    <row r="11" spans="1:6" x14ac:dyDescent="0.25">
      <c r="A11" s="72">
        <v>2223</v>
      </c>
      <c r="B11" s="65">
        <v>48807303</v>
      </c>
      <c r="C11" s="47"/>
      <c r="D11" s="47"/>
      <c r="E11" s="73" t="s">
        <v>86</v>
      </c>
      <c r="F11" s="74">
        <v>2023</v>
      </c>
    </row>
    <row r="12" spans="1:6" x14ac:dyDescent="0.25">
      <c r="A12" s="72">
        <v>2024</v>
      </c>
      <c r="B12" s="65">
        <v>211987058</v>
      </c>
      <c r="C12" s="47"/>
      <c r="D12" s="47"/>
      <c r="E12" s="73" t="s">
        <v>86</v>
      </c>
      <c r="F12" s="74">
        <v>2024</v>
      </c>
    </row>
    <row r="13" spans="1:6" x14ac:dyDescent="0.25">
      <c r="A13" s="72">
        <v>2025</v>
      </c>
      <c r="B13" s="65">
        <v>430198206</v>
      </c>
      <c r="C13" s="65">
        <v>172607003</v>
      </c>
      <c r="D13" s="66">
        <f>B11-C11</f>
        <v>48807303</v>
      </c>
      <c r="E13" s="73" t="s">
        <v>87</v>
      </c>
      <c r="F13" s="74">
        <v>2025</v>
      </c>
    </row>
    <row r="14" spans="1:6" x14ac:dyDescent="0.25">
      <c r="A14" s="72">
        <v>2026</v>
      </c>
      <c r="B14" s="65">
        <v>699064688</v>
      </c>
      <c r="C14" s="65">
        <v>800000000</v>
      </c>
      <c r="D14" s="66">
        <f t="shared" ref="D14:D20" si="0">(B12+D13)-C12</f>
        <v>260794361</v>
      </c>
      <c r="E14" s="73" t="s">
        <v>87</v>
      </c>
      <c r="F14" s="74">
        <v>2026</v>
      </c>
    </row>
    <row r="15" spans="1:6" x14ac:dyDescent="0.25">
      <c r="A15" s="72">
        <v>2027</v>
      </c>
      <c r="B15" s="65">
        <v>694846285</v>
      </c>
      <c r="C15" s="65">
        <v>1197919574</v>
      </c>
      <c r="D15" s="66">
        <f t="shared" si="0"/>
        <v>518385564</v>
      </c>
      <c r="E15" s="73" t="s">
        <v>88</v>
      </c>
      <c r="F15" s="74">
        <v>2027</v>
      </c>
    </row>
    <row r="16" spans="1:6" x14ac:dyDescent="0.25">
      <c r="A16" s="72">
        <v>2028</v>
      </c>
      <c r="B16" s="65">
        <v>1136292665</v>
      </c>
      <c r="C16" s="65">
        <v>108024302</v>
      </c>
      <c r="D16" s="66">
        <f t="shared" si="0"/>
        <v>417450252</v>
      </c>
      <c r="E16" s="73" t="s">
        <v>88</v>
      </c>
      <c r="F16" s="74">
        <v>2028</v>
      </c>
    </row>
    <row r="17" spans="1:6" x14ac:dyDescent="0.25">
      <c r="A17" s="72">
        <v>2029</v>
      </c>
      <c r="B17" s="65">
        <v>1702961919</v>
      </c>
      <c r="C17" s="65">
        <f>'interes 4,5'!I12</f>
        <v>144750000</v>
      </c>
      <c r="D17" s="66">
        <f t="shared" si="0"/>
        <v>-85623037</v>
      </c>
      <c r="E17" s="73" t="s">
        <v>89</v>
      </c>
      <c r="F17" s="74">
        <v>2029</v>
      </c>
    </row>
    <row r="18" spans="1:6" x14ac:dyDescent="0.25">
      <c r="A18" s="72">
        <v>2030</v>
      </c>
      <c r="B18" s="65">
        <v>2432150341</v>
      </c>
      <c r="C18" s="65">
        <f>'interes 4,5'!I15</f>
        <v>172500000</v>
      </c>
      <c r="D18" s="66">
        <f t="shared" si="0"/>
        <v>942645326</v>
      </c>
      <c r="E18" s="73" t="s">
        <v>89</v>
      </c>
      <c r="F18" s="74">
        <v>2030</v>
      </c>
    </row>
    <row r="19" spans="1:6" x14ac:dyDescent="0.25">
      <c r="A19" s="72">
        <v>2031</v>
      </c>
      <c r="B19" s="65">
        <v>3373438524</v>
      </c>
      <c r="C19" s="67"/>
      <c r="D19" s="66">
        <f t="shared" si="0"/>
        <v>2500857245</v>
      </c>
      <c r="E19" s="73" t="s">
        <v>90</v>
      </c>
      <c r="F19" s="74">
        <v>2031</v>
      </c>
    </row>
    <row r="20" spans="1:6" ht="15.75" thickBot="1" x14ac:dyDescent="0.3">
      <c r="A20" s="75">
        <v>2032</v>
      </c>
      <c r="B20" s="76"/>
      <c r="C20" s="76"/>
      <c r="D20" s="77">
        <f t="shared" si="0"/>
        <v>4760507586</v>
      </c>
      <c r="E20" s="78" t="s">
        <v>90</v>
      </c>
      <c r="F20" s="79">
        <v>2032</v>
      </c>
    </row>
  </sheetData>
  <mergeCells count="4">
    <mergeCell ref="A2:F2"/>
    <mergeCell ref="A6:A7"/>
    <mergeCell ref="E6:E7"/>
    <mergeCell ref="F6:F7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EA4E6-0894-4B79-9563-970B8A6C2DDC}">
  <dimension ref="A2:J23"/>
  <sheetViews>
    <sheetView workbookViewId="0">
      <selection activeCell="J15" sqref="J15"/>
    </sheetView>
  </sheetViews>
  <sheetFormatPr baseColWidth="10" defaultColWidth="11.5703125" defaultRowHeight="15" x14ac:dyDescent="0.25"/>
  <cols>
    <col min="2" max="2" width="14.140625" bestFit="1" customWidth="1"/>
    <col min="3" max="3" width="14.5703125" customWidth="1"/>
    <col min="4" max="4" width="15.140625" bestFit="1" customWidth="1"/>
    <col min="5" max="5" width="14.140625" bestFit="1" customWidth="1"/>
    <col min="6" max="6" width="13.5703125" customWidth="1"/>
    <col min="7" max="7" width="15" customWidth="1"/>
    <col min="8" max="10" width="12.5703125" bestFit="1" customWidth="1"/>
    <col min="11" max="11" width="14.140625" bestFit="1" customWidth="1"/>
  </cols>
  <sheetData>
    <row r="2" spans="1:9" x14ac:dyDescent="0.25">
      <c r="B2" s="6"/>
      <c r="C2" s="6"/>
    </row>
    <row r="3" spans="1:9" ht="15.75" thickBot="1" x14ac:dyDescent="0.3"/>
    <row r="4" spans="1:9" x14ac:dyDescent="0.25">
      <c r="C4" s="94" t="s">
        <v>48</v>
      </c>
      <c r="D4" s="107"/>
      <c r="E4" s="107"/>
      <c r="F4" s="107"/>
      <c r="G4" s="95"/>
    </row>
    <row r="5" spans="1:9" ht="15.75" thickBot="1" x14ac:dyDescent="0.3">
      <c r="C5" s="98" t="s">
        <v>50</v>
      </c>
      <c r="D5" s="108"/>
      <c r="E5" s="108"/>
      <c r="F5" s="108"/>
      <c r="G5" s="99"/>
    </row>
    <row r="6" spans="1:9" x14ac:dyDescent="0.25">
      <c r="A6" t="s">
        <v>81</v>
      </c>
      <c r="B6">
        <f>4.5%</f>
        <v>4.4999999999999998E-2</v>
      </c>
    </row>
    <row r="8" spans="1:9" x14ac:dyDescent="0.25">
      <c r="A8" s="39" t="s">
        <v>78</v>
      </c>
      <c r="B8" s="39" t="s">
        <v>12</v>
      </c>
      <c r="C8" s="39" t="s">
        <v>83</v>
      </c>
      <c r="D8" s="39" t="s">
        <v>15</v>
      </c>
      <c r="E8" s="39" t="s">
        <v>16</v>
      </c>
      <c r="F8" s="39" t="s">
        <v>17</v>
      </c>
      <c r="G8" s="39" t="s">
        <v>17</v>
      </c>
      <c r="H8" s="39" t="s">
        <v>17</v>
      </c>
      <c r="I8" s="41" t="s">
        <v>94</v>
      </c>
    </row>
    <row r="9" spans="1:9" x14ac:dyDescent="0.25">
      <c r="A9" s="13" t="s">
        <v>13</v>
      </c>
      <c r="B9" s="114">
        <v>41238</v>
      </c>
      <c r="C9" s="3"/>
      <c r="E9" s="109" t="s">
        <v>82</v>
      </c>
      <c r="F9" s="110"/>
      <c r="G9" s="110"/>
      <c r="H9" s="111"/>
      <c r="I9" s="41" t="s">
        <v>95</v>
      </c>
    </row>
    <row r="10" spans="1:9" x14ac:dyDescent="0.25">
      <c r="E10">
        <v>6</v>
      </c>
      <c r="F10">
        <v>6</v>
      </c>
      <c r="G10">
        <v>6</v>
      </c>
      <c r="H10">
        <v>6</v>
      </c>
    </row>
    <row r="11" spans="1:9" x14ac:dyDescent="0.25">
      <c r="A11" t="s">
        <v>14</v>
      </c>
      <c r="B11" s="54">
        <v>400000000</v>
      </c>
      <c r="C11" s="55">
        <f>81.5</f>
        <v>81.5</v>
      </c>
      <c r="D11" s="55"/>
      <c r="E11" s="54">
        <f>B11</f>
        <v>400000000</v>
      </c>
      <c r="F11" s="54">
        <f>E11-100000000</f>
        <v>300000000</v>
      </c>
      <c r="G11" s="54">
        <f>F11-100000000</f>
        <v>200000000</v>
      </c>
      <c r="H11" s="54">
        <f>G11-100000000</f>
        <v>100000000</v>
      </c>
    </row>
    <row r="12" spans="1:9" x14ac:dyDescent="0.25">
      <c r="B12" s="55">
        <f>B6/12</f>
        <v>3.7499999999999999E-3</v>
      </c>
      <c r="C12" s="55"/>
      <c r="D12" s="56">
        <f>((B11*B12)*C11)</f>
        <v>122250000</v>
      </c>
      <c r="E12" s="54">
        <f>(B$12*E11)*E10</f>
        <v>9000000</v>
      </c>
      <c r="F12" s="54">
        <f>(B12*F11)*F10</f>
        <v>6750000</v>
      </c>
      <c r="G12" s="56">
        <f>(B12*G11)*G10</f>
        <v>4500000</v>
      </c>
      <c r="H12" s="56">
        <f>(B12*H11)*H10</f>
        <v>2250000</v>
      </c>
      <c r="I12" s="43">
        <f>D12+E12+F12+G12+H12</f>
        <v>144750000</v>
      </c>
    </row>
    <row r="13" spans="1:9" x14ac:dyDescent="0.25">
      <c r="B13" s="114">
        <v>40678</v>
      </c>
      <c r="E13" s="3"/>
      <c r="I13" s="8"/>
    </row>
    <row r="14" spans="1:9" x14ac:dyDescent="0.25">
      <c r="A14" s="13" t="s">
        <v>18</v>
      </c>
      <c r="B14" s="57">
        <f>200000000*2</f>
        <v>400000000</v>
      </c>
      <c r="C14" s="57">
        <f>100</f>
        <v>100</v>
      </c>
      <c r="D14" s="59"/>
      <c r="E14" s="59"/>
      <c r="F14" s="59"/>
      <c r="G14" s="59"/>
      <c r="H14" s="59"/>
    </row>
    <row r="15" spans="1:9" x14ac:dyDescent="0.25">
      <c r="A15" t="s">
        <v>84</v>
      </c>
      <c r="B15" s="59">
        <f>B6/12</f>
        <v>3.7499999999999999E-3</v>
      </c>
      <c r="C15" s="59"/>
      <c r="D15" s="57">
        <f>(B14*B15)*C14</f>
        <v>150000000</v>
      </c>
      <c r="E15" s="58">
        <f>(E11*E10)*B15</f>
        <v>9000000</v>
      </c>
      <c r="F15" s="58">
        <f>F12</f>
        <v>6750000</v>
      </c>
      <c r="G15" s="58">
        <f>G12</f>
        <v>4500000</v>
      </c>
      <c r="H15" s="58">
        <f>H12</f>
        <v>2250000</v>
      </c>
      <c r="I15" s="43">
        <f>D15+E15+F15+G15+H15</f>
        <v>172500000</v>
      </c>
    </row>
    <row r="16" spans="1:9" x14ac:dyDescent="0.25">
      <c r="I16" s="8"/>
    </row>
    <row r="17" spans="1:10" x14ac:dyDescent="0.25">
      <c r="A17" s="13" t="s">
        <v>20</v>
      </c>
      <c r="B17" s="60"/>
      <c r="C17" s="61">
        <v>14241000</v>
      </c>
      <c r="D17" s="61">
        <v>7540000</v>
      </c>
      <c r="E17" s="61">
        <v>3618000</v>
      </c>
      <c r="F17" s="61">
        <v>42227242</v>
      </c>
      <c r="G17" s="61">
        <v>11315877</v>
      </c>
      <c r="H17" s="61">
        <v>29082183</v>
      </c>
      <c r="I17" s="44">
        <f>C17+D17+E17+F17+G17+H17</f>
        <v>108024302</v>
      </c>
      <c r="J17" s="1"/>
    </row>
    <row r="18" spans="1:10" x14ac:dyDescent="0.25">
      <c r="I18" s="42"/>
    </row>
    <row r="19" spans="1:10" x14ac:dyDescent="0.25">
      <c r="C19" s="3"/>
      <c r="E19">
        <v>6</v>
      </c>
      <c r="F19">
        <v>6</v>
      </c>
      <c r="G19">
        <v>6</v>
      </c>
      <c r="H19">
        <v>6</v>
      </c>
      <c r="I19" s="42"/>
    </row>
    <row r="20" spans="1:10" x14ac:dyDescent="0.25">
      <c r="A20" s="13" t="s">
        <v>27</v>
      </c>
      <c r="B20" s="62">
        <v>1197919574</v>
      </c>
      <c r="C20" s="63">
        <f>42+48</f>
        <v>90</v>
      </c>
      <c r="D20" s="63"/>
      <c r="E20" s="64">
        <f>B20</f>
        <v>1197919574</v>
      </c>
      <c r="F20" s="64">
        <f>(E20/4)*3</f>
        <v>898439680.5</v>
      </c>
      <c r="G20" s="64">
        <f>(E20/4)*2</f>
        <v>598959787</v>
      </c>
      <c r="H20" s="64">
        <f>E20/4</f>
        <v>299479893.5</v>
      </c>
      <c r="I20" s="42"/>
      <c r="J20" s="3"/>
    </row>
    <row r="21" spans="1:10" x14ac:dyDescent="0.25">
      <c r="A21" t="s">
        <v>84</v>
      </c>
      <c r="B21" s="63">
        <f>B6/12</f>
        <v>3.7499999999999999E-3</v>
      </c>
      <c r="C21" s="63"/>
      <c r="D21" s="64">
        <f>(B20*B21)*C20</f>
        <v>404297856.22499996</v>
      </c>
      <c r="E21" s="64">
        <f>(E20*B21)*E19</f>
        <v>26953190.414999999</v>
      </c>
      <c r="F21" s="64">
        <f>(F20*B21)*F19</f>
        <v>20214892.811250001</v>
      </c>
      <c r="G21" s="64">
        <f>(G20*B21)*G19</f>
        <v>13476595.2075</v>
      </c>
      <c r="H21" s="64">
        <f>(H20*B21)*H19</f>
        <v>6738297.6037499998</v>
      </c>
      <c r="I21" s="44">
        <f t="shared" ref="I21" si="0">C21+D21+E21+F21+G21+H21</f>
        <v>471680832.26249993</v>
      </c>
      <c r="J21" s="3"/>
    </row>
    <row r="22" spans="1:10" x14ac:dyDescent="0.25">
      <c r="B22" s="9"/>
    </row>
    <row r="23" spans="1:10" x14ac:dyDescent="0.25">
      <c r="I23" s="3"/>
    </row>
  </sheetData>
  <mergeCells count="3">
    <mergeCell ref="C4:G4"/>
    <mergeCell ref="C5:G5"/>
    <mergeCell ref="E9:H9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7284-73FE-4AEE-B97B-8AB34A0F950E}">
  <dimension ref="A1:I15"/>
  <sheetViews>
    <sheetView workbookViewId="0">
      <selection activeCell="D18" sqref="D18"/>
    </sheetView>
  </sheetViews>
  <sheetFormatPr baseColWidth="10" defaultColWidth="11.5703125" defaultRowHeight="15" x14ac:dyDescent="0.25"/>
  <cols>
    <col min="1" max="1" width="13.5703125" bestFit="1" customWidth="1"/>
    <col min="2" max="2" width="17.42578125" bestFit="1" customWidth="1"/>
    <col min="4" max="4" width="15.5703125" bestFit="1" customWidth="1"/>
    <col min="5" max="6" width="14.140625" bestFit="1" customWidth="1"/>
    <col min="8" max="8" width="12.42578125" bestFit="1" customWidth="1"/>
    <col min="9" max="9" width="14.140625" bestFit="1" customWidth="1"/>
  </cols>
  <sheetData>
    <row r="1" spans="1:9" ht="15.75" thickBot="1" x14ac:dyDescent="0.3"/>
    <row r="2" spans="1:9" x14ac:dyDescent="0.25">
      <c r="B2" s="94" t="s">
        <v>45</v>
      </c>
      <c r="C2" s="107"/>
      <c r="D2" s="107"/>
      <c r="E2" s="107"/>
      <c r="F2" s="107"/>
      <c r="G2" s="95"/>
      <c r="H2" s="31"/>
    </row>
    <row r="3" spans="1:9" x14ac:dyDescent="0.25">
      <c r="B3" s="96" t="s">
        <v>77</v>
      </c>
      <c r="C3" s="112"/>
      <c r="D3" s="112"/>
      <c r="E3" s="112"/>
      <c r="F3" s="112"/>
      <c r="G3" s="97"/>
    </row>
    <row r="4" spans="1:9" ht="15.75" thickBot="1" x14ac:dyDescent="0.3">
      <c r="B4" s="98" t="s">
        <v>47</v>
      </c>
      <c r="C4" s="108"/>
      <c r="D4" s="108"/>
      <c r="E4" s="108"/>
      <c r="F4" s="108"/>
      <c r="G4" s="99"/>
    </row>
    <row r="6" spans="1:9" x14ac:dyDescent="0.25">
      <c r="A6" s="2" t="s">
        <v>92</v>
      </c>
      <c r="B6" t="s">
        <v>31</v>
      </c>
      <c r="C6" t="s">
        <v>19</v>
      </c>
      <c r="D6" t="s">
        <v>32</v>
      </c>
      <c r="E6" s="4" t="s">
        <v>93</v>
      </c>
      <c r="F6" s="8" t="s">
        <v>21</v>
      </c>
    </row>
    <row r="7" spans="1:9" x14ac:dyDescent="0.25">
      <c r="A7" t="s">
        <v>7</v>
      </c>
      <c r="B7" s="3">
        <f>'ingresos PN'!B11+'ingresos PN'!B12</f>
        <v>260794361</v>
      </c>
      <c r="C7" t="s">
        <v>8</v>
      </c>
      <c r="D7" s="3">
        <f>'creditos por cancelar'!B9</f>
        <v>172607003</v>
      </c>
      <c r="E7" s="3">
        <f>B7-D7</f>
        <v>88187358</v>
      </c>
      <c r="H7" s="3"/>
    </row>
    <row r="8" spans="1:9" x14ac:dyDescent="0.25">
      <c r="A8" t="s">
        <v>9</v>
      </c>
      <c r="B8" s="3">
        <f>'ingresos PN'!B13+'ingresos PN'!B14</f>
        <v>1129262894</v>
      </c>
      <c r="C8" t="s">
        <v>10</v>
      </c>
      <c r="D8" s="3">
        <f>'creditos por cancelar'!B10</f>
        <v>800000000</v>
      </c>
      <c r="E8" s="3">
        <f>B8-D8</f>
        <v>329262894</v>
      </c>
      <c r="H8" s="3"/>
      <c r="I8" s="3"/>
    </row>
    <row r="9" spans="1:9" x14ac:dyDescent="0.25">
      <c r="A9" t="s">
        <v>11</v>
      </c>
      <c r="B9" s="3">
        <f>'ingresos PN'!B15+'ingresos PN'!B16</f>
        <v>1831138950</v>
      </c>
      <c r="C9" t="s">
        <v>30</v>
      </c>
      <c r="D9" s="3">
        <f>'creditos por cancelar'!B11</f>
        <v>1197919574</v>
      </c>
      <c r="E9" s="3">
        <f>B9-D9</f>
        <v>633219376</v>
      </c>
      <c r="H9" s="3"/>
    </row>
    <row r="10" spans="1:9" x14ac:dyDescent="0.25">
      <c r="A10" t="s">
        <v>28</v>
      </c>
      <c r="B10" s="3">
        <f>'ingresos PN'!B17</f>
        <v>1702961919</v>
      </c>
      <c r="C10" t="s">
        <v>29</v>
      </c>
      <c r="D10" s="3">
        <f>'creditos por cancelar'!B12+'creditos por cancelar'!B13+'creditos por cancelar'!B14</f>
        <v>896955134.26249993</v>
      </c>
      <c r="E10" s="3">
        <f>B10-D10</f>
        <v>806006784.73750007</v>
      </c>
      <c r="F10" s="40">
        <f>E7+E8+E9+E10</f>
        <v>1856676412.7375002</v>
      </c>
      <c r="H10" s="3"/>
      <c r="I10" s="3"/>
    </row>
    <row r="15" spans="1:9" x14ac:dyDescent="0.25">
      <c r="D15" t="s">
        <v>46</v>
      </c>
    </row>
  </sheetData>
  <mergeCells count="3">
    <mergeCell ref="B3:G3"/>
    <mergeCell ref="B4:G4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C5E6-BBBB-488E-B7BE-672C576B0E30}">
  <dimension ref="B1:J13"/>
  <sheetViews>
    <sheetView workbookViewId="0">
      <selection activeCell="L12" sqref="L12"/>
    </sheetView>
  </sheetViews>
  <sheetFormatPr baseColWidth="10" defaultRowHeight="15" x14ac:dyDescent="0.25"/>
  <cols>
    <col min="2" max="2" width="6" customWidth="1"/>
    <col min="3" max="3" width="16.85546875" bestFit="1" customWidth="1"/>
    <col min="4" max="4" width="9.5703125" bestFit="1" customWidth="1"/>
    <col min="5" max="5" width="15.7109375" bestFit="1" customWidth="1"/>
    <col min="6" max="6" width="8.85546875" bestFit="1" customWidth="1"/>
    <col min="7" max="7" width="8.140625" bestFit="1" customWidth="1"/>
    <col min="8" max="8" width="17" customWidth="1"/>
    <col min="9" max="9" width="17.28515625" bestFit="1" customWidth="1"/>
    <col min="10" max="10" width="3.140625" bestFit="1" customWidth="1"/>
  </cols>
  <sheetData>
    <row r="1" spans="2:10" ht="43.5" customHeight="1" x14ac:dyDescent="0.25"/>
    <row r="3" spans="2:10" x14ac:dyDescent="0.25">
      <c r="C3" s="113" t="s">
        <v>76</v>
      </c>
      <c r="D3" s="113"/>
      <c r="E3" s="113"/>
      <c r="F3" s="113"/>
      <c r="G3" s="113"/>
      <c r="H3" s="113"/>
    </row>
    <row r="5" spans="2:10" ht="28.5" customHeight="1" x14ac:dyDescent="0.25">
      <c r="B5" s="36"/>
      <c r="C5" s="35" t="s">
        <v>56</v>
      </c>
      <c r="D5" s="35" t="s">
        <v>57</v>
      </c>
      <c r="E5" s="35" t="s">
        <v>58</v>
      </c>
      <c r="F5" s="35" t="s">
        <v>59</v>
      </c>
      <c r="G5" s="35" t="s">
        <v>60</v>
      </c>
      <c r="H5" s="35" t="s">
        <v>71</v>
      </c>
      <c r="I5" s="35" t="s">
        <v>75</v>
      </c>
      <c r="J5" s="3"/>
    </row>
    <row r="6" spans="2:10" x14ac:dyDescent="0.25">
      <c r="B6" s="36"/>
      <c r="C6" s="36" t="s">
        <v>61</v>
      </c>
      <c r="D6" s="37">
        <v>900343336</v>
      </c>
      <c r="E6" s="36" t="s">
        <v>68</v>
      </c>
      <c r="F6" s="36" t="s">
        <v>63</v>
      </c>
      <c r="G6" s="36" t="s">
        <v>64</v>
      </c>
      <c r="H6" s="38">
        <f>'interes 4,5'!I12</f>
        <v>144750000</v>
      </c>
      <c r="I6" s="36" t="s">
        <v>72</v>
      </c>
    </row>
    <row r="7" spans="2:10" x14ac:dyDescent="0.25">
      <c r="B7" s="36"/>
      <c r="C7" s="36" t="s">
        <v>62</v>
      </c>
      <c r="D7" s="36" t="s">
        <v>69</v>
      </c>
      <c r="E7" s="36" t="s">
        <v>67</v>
      </c>
      <c r="F7" s="36" t="s">
        <v>63</v>
      </c>
      <c r="G7" s="36" t="s">
        <v>64</v>
      </c>
      <c r="H7" s="38">
        <f>'interes 4,5'!I15/2</f>
        <v>86250000</v>
      </c>
      <c r="I7" s="36" t="s">
        <v>73</v>
      </c>
    </row>
    <row r="8" spans="2:10" x14ac:dyDescent="0.25">
      <c r="B8" s="36"/>
      <c r="C8" s="36" t="s">
        <v>65</v>
      </c>
      <c r="D8" s="36" t="s">
        <v>70</v>
      </c>
      <c r="E8" s="36" t="s">
        <v>66</v>
      </c>
      <c r="F8" s="36" t="s">
        <v>63</v>
      </c>
      <c r="G8" s="36" t="s">
        <v>64</v>
      </c>
      <c r="H8" s="38">
        <f>'interes 4,5'!I15/2</f>
        <v>86250000</v>
      </c>
      <c r="I8" s="36" t="s">
        <v>74</v>
      </c>
    </row>
    <row r="11" spans="2:10" x14ac:dyDescent="0.25">
      <c r="C11" s="33"/>
      <c r="D11" s="34"/>
    </row>
    <row r="12" spans="2:10" x14ac:dyDescent="0.25">
      <c r="C12" s="33"/>
      <c r="D12" s="34"/>
    </row>
    <row r="13" spans="2:10" x14ac:dyDescent="0.25">
      <c r="C13" s="33"/>
      <c r="D13" s="34"/>
    </row>
  </sheetData>
  <mergeCells count="1">
    <mergeCell ref="C3:H3"/>
  </mergeCells>
  <phoneticPr fontId="5" type="noConversion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Cuadro Flujo de Caja</vt:lpstr>
      <vt:lpstr>creditos por cancelar</vt:lpstr>
      <vt:lpstr>ingresos PN</vt:lpstr>
      <vt:lpstr>interes 4,5</vt:lpstr>
      <vt:lpstr>% flujo comprometido</vt:lpstr>
      <vt:lpstr>postergados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EQUIPO</cp:lastModifiedBy>
  <dcterms:created xsi:type="dcterms:W3CDTF">2022-03-02T18:56:51Z</dcterms:created>
  <dcterms:modified xsi:type="dcterms:W3CDTF">2022-08-22T13:31:20Z</dcterms:modified>
</cp:coreProperties>
</file>