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lan de Negocios Agrosierra\"/>
    </mc:Choice>
  </mc:AlternateContent>
  <xr:revisionPtr revIDLastSave="0" documentId="13_ncr:1_{8526A8B7-7DC1-4D6F-A8A5-DEE75BD81254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Portada" sheetId="4" r:id="rId1"/>
    <sheet name="1.Balances Generales" sheetId="1" r:id="rId2"/>
    <sheet name="2.Estado de resultados" sheetId="2" r:id="rId3"/>
    <sheet name="3.Indicadores Financieros" sheetId="15" r:id="rId4"/>
    <sheet name="4.Estado de Fuentes y Ap." sheetId="5" r:id="rId5"/>
    <sheet name="5.Balances Comparativos" sheetId="7" r:id="rId6"/>
    <sheet name="6.Estados de Resultados Comp" sheetId="9" r:id="rId7"/>
    <sheet name="7.Balances Proyectados" sheetId="18" r:id="rId8"/>
    <sheet name="8.Pago Acreedores" sheetId="21" r:id="rId9"/>
    <sheet name="9.Estado de resultados Proy." sheetId="19" r:id="rId10"/>
    <sheet name="10. Flujo de caja" sheetId="20" r:id="rId11"/>
  </sheets>
  <externalReferences>
    <externalReference r:id="rId12"/>
    <externalReference r:id="rId13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4" hidden="1">'4.Estado de Fuentes y Ap.'!$G$3:$G$82</definedName>
    <definedName name="Pal_Workbook_GUID" hidden="1">"57FE8PGXJ9WLKTDNXXGK7E17"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5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1" l="1"/>
  <c r="F4" i="21"/>
  <c r="G5" i="21" s="1"/>
  <c r="D4" i="21" l="1"/>
  <c r="E4" i="21" s="1"/>
  <c r="G4" i="21" s="1"/>
  <c r="B38" i="18"/>
  <c r="C4" i="21"/>
  <c r="H4" i="21" l="1"/>
  <c r="H5" i="21"/>
  <c r="B5" i="19"/>
  <c r="I4" i="21" l="1"/>
  <c r="I5" i="21"/>
  <c r="D46" i="18"/>
  <c r="E46" i="18" s="1"/>
  <c r="D51" i="18"/>
  <c r="E51" i="18" s="1"/>
  <c r="D54" i="18"/>
  <c r="E54" i="18" s="1"/>
  <c r="C46" i="18"/>
  <c r="C51" i="18"/>
  <c r="C53" i="18"/>
  <c r="D53" i="18" s="1"/>
  <c r="E53" i="18" s="1"/>
  <c r="C54" i="18"/>
  <c r="C56" i="18"/>
  <c r="D56" i="18" s="1"/>
  <c r="E56" i="18" s="1"/>
  <c r="C24" i="18"/>
  <c r="D24" i="18" s="1"/>
  <c r="E24" i="18" s="1"/>
  <c r="L8" i="19"/>
  <c r="M8" i="19" s="1"/>
  <c r="N8" i="19" s="1"/>
  <c r="O8" i="19" s="1"/>
  <c r="K8" i="19"/>
  <c r="K9" i="19"/>
  <c r="L9" i="19" s="1"/>
  <c r="M9" i="19" s="1"/>
  <c r="N9" i="19" s="1"/>
  <c r="O9" i="19" s="1"/>
  <c r="K24" i="19"/>
  <c r="L24" i="19" s="1"/>
  <c r="M24" i="19" s="1"/>
  <c r="N24" i="19" s="1"/>
  <c r="O24" i="19" s="1"/>
  <c r="K28" i="19"/>
  <c r="L28" i="19" s="1"/>
  <c r="M28" i="19" s="1"/>
  <c r="N28" i="19" s="1"/>
  <c r="O28" i="19" s="1"/>
  <c r="K32" i="19"/>
  <c r="L32" i="19" s="1"/>
  <c r="M32" i="19" s="1"/>
  <c r="N32" i="19" s="1"/>
  <c r="O32" i="19" s="1"/>
  <c r="J49" i="19"/>
  <c r="K49" i="19" s="1"/>
  <c r="L49" i="19" s="1"/>
  <c r="M49" i="19" s="1"/>
  <c r="N49" i="19" s="1"/>
  <c r="O49" i="19" s="1"/>
  <c r="H20" i="19"/>
  <c r="G20" i="19"/>
  <c r="F20" i="19"/>
  <c r="G6" i="19"/>
  <c r="H6" i="19"/>
  <c r="I6" i="19"/>
  <c r="J6" i="19"/>
  <c r="F6" i="19"/>
  <c r="D8" i="19"/>
  <c r="E8" i="19" s="1"/>
  <c r="D9" i="19"/>
  <c r="E9" i="19"/>
  <c r="D10" i="19"/>
  <c r="E10" i="19" s="1"/>
  <c r="D11" i="19"/>
  <c r="E11" i="19" s="1"/>
  <c r="D12" i="19"/>
  <c r="E12" i="19" s="1"/>
  <c r="D15" i="19"/>
  <c r="E15" i="19"/>
  <c r="D18" i="19"/>
  <c r="E18" i="19" s="1"/>
  <c r="D20" i="19"/>
  <c r="E20" i="19" s="1"/>
  <c r="D21" i="19"/>
  <c r="E21" i="19" s="1"/>
  <c r="D23" i="19"/>
  <c r="E23" i="19"/>
  <c r="D28" i="19"/>
  <c r="E28" i="19" s="1"/>
  <c r="D29" i="19"/>
  <c r="E29" i="19" s="1"/>
  <c r="D31" i="19"/>
  <c r="E31" i="19"/>
  <c r="D38" i="19"/>
  <c r="E38" i="19" s="1"/>
  <c r="D40" i="19"/>
  <c r="E40" i="19" s="1"/>
  <c r="D42" i="19"/>
  <c r="E42" i="19" s="1"/>
  <c r="F42" i="19" s="1"/>
  <c r="G42" i="19" s="1"/>
  <c r="H42" i="19" s="1"/>
  <c r="I42" i="19" s="1"/>
  <c r="J42" i="19" s="1"/>
  <c r="K42" i="19" s="1"/>
  <c r="L42" i="19" s="1"/>
  <c r="M42" i="19" s="1"/>
  <c r="N42" i="19" s="1"/>
  <c r="O42" i="19" s="1"/>
  <c r="D43" i="19"/>
  <c r="E43" i="19" s="1"/>
  <c r="F43" i="19" s="1"/>
  <c r="G43" i="19" s="1"/>
  <c r="H43" i="19" s="1"/>
  <c r="I43" i="19" s="1"/>
  <c r="J43" i="19" s="1"/>
  <c r="K43" i="19" s="1"/>
  <c r="L43" i="19" s="1"/>
  <c r="M43" i="19" s="1"/>
  <c r="N43" i="19" s="1"/>
  <c r="O43" i="19" s="1"/>
  <c r="E45" i="19"/>
  <c r="F45" i="19" s="1"/>
  <c r="G45" i="19" s="1"/>
  <c r="H45" i="19" s="1"/>
  <c r="I45" i="19" s="1"/>
  <c r="J45" i="19" s="1"/>
  <c r="K45" i="19" s="1"/>
  <c r="L45" i="19" s="1"/>
  <c r="M45" i="19" s="1"/>
  <c r="N45" i="19" s="1"/>
  <c r="O45" i="19" s="1"/>
  <c r="D48" i="19"/>
  <c r="E48" i="19" s="1"/>
  <c r="F48" i="19" s="1"/>
  <c r="G48" i="19" s="1"/>
  <c r="H48" i="19" s="1"/>
  <c r="I48" i="19" s="1"/>
  <c r="J48" i="19" s="1"/>
  <c r="K48" i="19" s="1"/>
  <c r="L48" i="19" s="1"/>
  <c r="M48" i="19" s="1"/>
  <c r="N48" i="19" s="1"/>
  <c r="O48" i="19" s="1"/>
  <c r="D49" i="19"/>
  <c r="E49" i="19" s="1"/>
  <c r="F49" i="19" s="1"/>
  <c r="G49" i="19" s="1"/>
  <c r="H49" i="19" s="1"/>
  <c r="I49" i="19" s="1"/>
  <c r="D52" i="19"/>
  <c r="E52" i="19" s="1"/>
  <c r="D53" i="19"/>
  <c r="E53" i="19" s="1"/>
  <c r="D59" i="19"/>
  <c r="E59" i="19" s="1"/>
  <c r="D7" i="19"/>
  <c r="C14" i="19"/>
  <c r="D14" i="19" s="1"/>
  <c r="E14" i="19" s="1"/>
  <c r="C15" i="19"/>
  <c r="C17" i="19"/>
  <c r="D17" i="19" s="1"/>
  <c r="E17" i="19" s="1"/>
  <c r="C18" i="19"/>
  <c r="C19" i="19"/>
  <c r="D19" i="19" s="1"/>
  <c r="E19" i="19" s="1"/>
  <c r="C20" i="19"/>
  <c r="C21" i="19"/>
  <c r="C22" i="19"/>
  <c r="D22" i="19" s="1"/>
  <c r="E22" i="19" s="1"/>
  <c r="C23" i="19"/>
  <c r="C24" i="19"/>
  <c r="D24" i="19" s="1"/>
  <c r="E24" i="19" s="1"/>
  <c r="C25" i="19"/>
  <c r="D25" i="19" s="1"/>
  <c r="E25" i="19" s="1"/>
  <c r="C26" i="19"/>
  <c r="D26" i="19" s="1"/>
  <c r="E26" i="19" s="1"/>
  <c r="C27" i="19"/>
  <c r="D27" i="19" s="1"/>
  <c r="E27" i="19" s="1"/>
  <c r="C28" i="19"/>
  <c r="C29" i="19"/>
  <c r="C30" i="19"/>
  <c r="D30" i="19" s="1"/>
  <c r="E30" i="19" s="1"/>
  <c r="C31" i="19"/>
  <c r="C32" i="19"/>
  <c r="D32" i="19" s="1"/>
  <c r="E32" i="19" s="1"/>
  <c r="C33" i="19"/>
  <c r="D33" i="19" s="1"/>
  <c r="E33" i="19" s="1"/>
  <c r="C35" i="19"/>
  <c r="D35" i="19" s="1"/>
  <c r="E35" i="19" s="1"/>
  <c r="C36" i="19"/>
  <c r="D36" i="19" s="1"/>
  <c r="E36" i="19" s="1"/>
  <c r="C38" i="19"/>
  <c r="C40" i="19"/>
  <c r="C41" i="19"/>
  <c r="D41" i="19" s="1"/>
  <c r="E41" i="19" s="1"/>
  <c r="C42" i="19"/>
  <c r="C43" i="19"/>
  <c r="C44" i="19"/>
  <c r="D44" i="19" s="1"/>
  <c r="E44" i="19" s="1"/>
  <c r="F44" i="19" s="1"/>
  <c r="G44" i="19" s="1"/>
  <c r="H44" i="19" s="1"/>
  <c r="I44" i="19" s="1"/>
  <c r="J44" i="19" s="1"/>
  <c r="K44" i="19" s="1"/>
  <c r="L44" i="19" s="1"/>
  <c r="M44" i="19" s="1"/>
  <c r="N44" i="19" s="1"/>
  <c r="O44" i="19" s="1"/>
  <c r="C45" i="19"/>
  <c r="D45" i="19" s="1"/>
  <c r="C47" i="19"/>
  <c r="D47" i="19" s="1"/>
  <c r="E47" i="19" s="1"/>
  <c r="F47" i="19" s="1"/>
  <c r="G47" i="19" s="1"/>
  <c r="H47" i="19" s="1"/>
  <c r="I47" i="19" s="1"/>
  <c r="J47" i="19" s="1"/>
  <c r="K47" i="19" s="1"/>
  <c r="L47" i="19" s="1"/>
  <c r="M47" i="19" s="1"/>
  <c r="N47" i="19" s="1"/>
  <c r="O47" i="19" s="1"/>
  <c r="C48" i="19"/>
  <c r="C49" i="19"/>
  <c r="C50" i="19"/>
  <c r="D50" i="19" s="1"/>
  <c r="E50" i="19" s="1"/>
  <c r="F50" i="19" s="1"/>
  <c r="G50" i="19" s="1"/>
  <c r="H50" i="19" s="1"/>
  <c r="I50" i="19" s="1"/>
  <c r="J50" i="19" s="1"/>
  <c r="K50" i="19" s="1"/>
  <c r="L50" i="19" s="1"/>
  <c r="M50" i="19" s="1"/>
  <c r="N50" i="19" s="1"/>
  <c r="O50" i="19" s="1"/>
  <c r="C52" i="19"/>
  <c r="C53" i="19"/>
  <c r="C54" i="19"/>
  <c r="D54" i="19" s="1"/>
  <c r="E54" i="19" s="1"/>
  <c r="C57" i="19"/>
  <c r="D57" i="19" s="1"/>
  <c r="E57" i="19" s="1"/>
  <c r="C59" i="19"/>
  <c r="C13" i="19"/>
  <c r="D13" i="19" s="1"/>
  <c r="E13" i="19" s="1"/>
  <c r="C7" i="19"/>
  <c r="C5" i="19" s="1"/>
  <c r="B4" i="20" s="1"/>
  <c r="J21" i="19"/>
  <c r="I21" i="19"/>
  <c r="H21" i="19"/>
  <c r="G21" i="19"/>
  <c r="G13" i="19"/>
  <c r="H13" i="19" s="1"/>
  <c r="I13" i="19" s="1"/>
  <c r="J13" i="19" s="1"/>
  <c r="K13" i="19" s="1"/>
  <c r="L13" i="19" s="1"/>
  <c r="M13" i="19" s="1"/>
  <c r="G9" i="19"/>
  <c r="H9" i="19" s="1"/>
  <c r="I9" i="19" s="1"/>
  <c r="J9" i="19" s="1"/>
  <c r="F7" i="19"/>
  <c r="G7" i="19" s="1"/>
  <c r="F8" i="19"/>
  <c r="G8" i="19" s="1"/>
  <c r="H8" i="19" s="1"/>
  <c r="I8" i="19" s="1"/>
  <c r="J8" i="19" s="1"/>
  <c r="F10" i="19"/>
  <c r="G10" i="19" s="1"/>
  <c r="H10" i="19" s="1"/>
  <c r="I10" i="19" s="1"/>
  <c r="J10" i="19" s="1"/>
  <c r="K10" i="19" s="1"/>
  <c r="L10" i="19" s="1"/>
  <c r="M10" i="19" s="1"/>
  <c r="N10" i="19" s="1"/>
  <c r="O10" i="19" s="1"/>
  <c r="F14" i="19"/>
  <c r="G14" i="19" s="1"/>
  <c r="H14" i="19" s="1"/>
  <c r="I14" i="19" s="1"/>
  <c r="J14" i="19" s="1"/>
  <c r="K14" i="19" s="1"/>
  <c r="L14" i="19" s="1"/>
  <c r="M14" i="19" s="1"/>
  <c r="N14" i="19" s="1"/>
  <c r="O14" i="19" s="1"/>
  <c r="F15" i="19"/>
  <c r="G15" i="19" s="1"/>
  <c r="H15" i="19" s="1"/>
  <c r="I15" i="19" s="1"/>
  <c r="J15" i="19" s="1"/>
  <c r="K15" i="19" s="1"/>
  <c r="L15" i="19" s="1"/>
  <c r="M15" i="19" s="1"/>
  <c r="N15" i="19" s="1"/>
  <c r="O15" i="19" s="1"/>
  <c r="F19" i="19"/>
  <c r="F21" i="19"/>
  <c r="F22" i="19"/>
  <c r="G22" i="19" s="1"/>
  <c r="H22" i="19" s="1"/>
  <c r="I22" i="19" s="1"/>
  <c r="J22" i="19" s="1"/>
  <c r="K22" i="19" s="1"/>
  <c r="L22" i="19" s="1"/>
  <c r="M22" i="19" s="1"/>
  <c r="N22" i="19" s="1"/>
  <c r="O22" i="19" s="1"/>
  <c r="F23" i="19"/>
  <c r="G23" i="19" s="1"/>
  <c r="H23" i="19" s="1"/>
  <c r="I23" i="19" s="1"/>
  <c r="J23" i="19" s="1"/>
  <c r="K23" i="19" s="1"/>
  <c r="L23" i="19" s="1"/>
  <c r="M23" i="19" s="1"/>
  <c r="N23" i="19" s="1"/>
  <c r="O23" i="19" s="1"/>
  <c r="F24" i="19"/>
  <c r="G24" i="19" s="1"/>
  <c r="H24" i="19" s="1"/>
  <c r="I24" i="19" s="1"/>
  <c r="J24" i="19" s="1"/>
  <c r="F25" i="19"/>
  <c r="G25" i="19" s="1"/>
  <c r="H25" i="19" s="1"/>
  <c r="I25" i="19" s="1"/>
  <c r="J25" i="19" s="1"/>
  <c r="K25" i="19" s="1"/>
  <c r="L25" i="19" s="1"/>
  <c r="M25" i="19" s="1"/>
  <c r="N25" i="19" s="1"/>
  <c r="O25" i="19" s="1"/>
  <c r="F26" i="19"/>
  <c r="G26" i="19" s="1"/>
  <c r="H26" i="19" s="1"/>
  <c r="I26" i="19" s="1"/>
  <c r="J26" i="19" s="1"/>
  <c r="K26" i="19" s="1"/>
  <c r="L26" i="19" s="1"/>
  <c r="M26" i="19" s="1"/>
  <c r="N26" i="19" s="1"/>
  <c r="O26" i="19" s="1"/>
  <c r="F27" i="19"/>
  <c r="G27" i="19" s="1"/>
  <c r="H27" i="19" s="1"/>
  <c r="I27" i="19" s="1"/>
  <c r="J27" i="19" s="1"/>
  <c r="K27" i="19" s="1"/>
  <c r="L27" i="19" s="1"/>
  <c r="M27" i="19" s="1"/>
  <c r="N27" i="19" s="1"/>
  <c r="O27" i="19" s="1"/>
  <c r="F28" i="19"/>
  <c r="G28" i="19" s="1"/>
  <c r="H28" i="19" s="1"/>
  <c r="I28" i="19" s="1"/>
  <c r="J28" i="19" s="1"/>
  <c r="F29" i="19"/>
  <c r="G29" i="19" s="1"/>
  <c r="H29" i="19" s="1"/>
  <c r="I29" i="19" s="1"/>
  <c r="J29" i="19" s="1"/>
  <c r="K29" i="19" s="1"/>
  <c r="L29" i="19" s="1"/>
  <c r="M29" i="19" s="1"/>
  <c r="N29" i="19" s="1"/>
  <c r="O29" i="19" s="1"/>
  <c r="F30" i="19"/>
  <c r="G30" i="19" s="1"/>
  <c r="H30" i="19" s="1"/>
  <c r="I30" i="19" s="1"/>
  <c r="J30" i="19" s="1"/>
  <c r="K30" i="19" s="1"/>
  <c r="L30" i="19" s="1"/>
  <c r="M30" i="19" s="1"/>
  <c r="N30" i="19" s="1"/>
  <c r="O30" i="19" s="1"/>
  <c r="F31" i="19"/>
  <c r="G31" i="19" s="1"/>
  <c r="H31" i="19" s="1"/>
  <c r="I31" i="19" s="1"/>
  <c r="J31" i="19" s="1"/>
  <c r="K31" i="19" s="1"/>
  <c r="L31" i="19" s="1"/>
  <c r="M31" i="19" s="1"/>
  <c r="N31" i="19" s="1"/>
  <c r="O31" i="19" s="1"/>
  <c r="F32" i="19"/>
  <c r="G32" i="19" s="1"/>
  <c r="H32" i="19" s="1"/>
  <c r="I32" i="19" s="1"/>
  <c r="J32" i="19" s="1"/>
  <c r="F33" i="19"/>
  <c r="G33" i="19" s="1"/>
  <c r="H33" i="19" s="1"/>
  <c r="I33" i="19" s="1"/>
  <c r="J33" i="19" s="1"/>
  <c r="K33" i="19" s="1"/>
  <c r="L33" i="19" s="1"/>
  <c r="M33" i="19" s="1"/>
  <c r="N33" i="19" s="1"/>
  <c r="O33" i="19" s="1"/>
  <c r="F35" i="19"/>
  <c r="G35" i="19" s="1"/>
  <c r="H35" i="19" s="1"/>
  <c r="I35" i="19" s="1"/>
  <c r="J35" i="19" s="1"/>
  <c r="K35" i="19" s="1"/>
  <c r="L35" i="19" s="1"/>
  <c r="M35" i="19" s="1"/>
  <c r="N35" i="19" s="1"/>
  <c r="O35" i="19" s="1"/>
  <c r="F57" i="19"/>
  <c r="G57" i="19" s="1"/>
  <c r="H57" i="19" s="1"/>
  <c r="I57" i="19" s="1"/>
  <c r="J57" i="19" s="1"/>
  <c r="K57" i="19" s="1"/>
  <c r="L57" i="19" s="1"/>
  <c r="M57" i="19" s="1"/>
  <c r="N57" i="19" s="1"/>
  <c r="O57" i="19" s="1"/>
  <c r="J4" i="21" l="1"/>
  <c r="J5" i="21"/>
  <c r="F5" i="19"/>
  <c r="B7" i="20" s="1"/>
  <c r="G5" i="19"/>
  <c r="B8" i="20" s="1"/>
  <c r="D5" i="19"/>
  <c r="B5" i="20" s="1"/>
  <c r="E7" i="19"/>
  <c r="E5" i="19" s="1"/>
  <c r="B6" i="20" s="1"/>
  <c r="H5" i="19"/>
  <c r="B9" i="20" s="1"/>
  <c r="N13" i="19"/>
  <c r="G19" i="19"/>
  <c r="G16" i="19"/>
  <c r="F16" i="19"/>
  <c r="H7" i="19"/>
  <c r="I7" i="19" s="1"/>
  <c r="J7" i="19" s="1"/>
  <c r="H19" i="19"/>
  <c r="B16" i="19"/>
  <c r="C16" i="19" s="1"/>
  <c r="D16" i="19" s="1"/>
  <c r="E16" i="19" s="1"/>
  <c r="K4" i="21" l="1"/>
  <c r="K5" i="21"/>
  <c r="J16" i="19"/>
  <c r="K7" i="19"/>
  <c r="J5" i="19"/>
  <c r="B11" i="20" s="1"/>
  <c r="I5" i="19"/>
  <c r="B10" i="20" s="1"/>
  <c r="O13" i="19"/>
  <c r="I16" i="19"/>
  <c r="I19" i="19"/>
  <c r="H16" i="19"/>
  <c r="L4" i="21" l="1"/>
  <c r="L5" i="21"/>
  <c r="K16" i="19"/>
  <c r="K5" i="19"/>
  <c r="B12" i="20" s="1"/>
  <c r="L7" i="19"/>
  <c r="J19" i="19"/>
  <c r="K19" i="19" s="1"/>
  <c r="L19" i="19" s="1"/>
  <c r="M19" i="19" s="1"/>
  <c r="N19" i="19" s="1"/>
  <c r="O19" i="19" s="1"/>
  <c r="M4" i="21" l="1"/>
  <c r="M5" i="21"/>
  <c r="L5" i="19"/>
  <c r="B13" i="20" s="1"/>
  <c r="M7" i="19"/>
  <c r="L16" i="19"/>
  <c r="B58" i="19"/>
  <c r="B56" i="19"/>
  <c r="B55" i="19"/>
  <c r="C55" i="19" s="1"/>
  <c r="D55" i="19" s="1"/>
  <c r="E55" i="19" s="1"/>
  <c r="N4" i="21" l="1"/>
  <c r="N5" i="21"/>
  <c r="F56" i="19"/>
  <c r="G56" i="19" s="1"/>
  <c r="H56" i="19" s="1"/>
  <c r="I56" i="19" s="1"/>
  <c r="J56" i="19" s="1"/>
  <c r="K56" i="19" s="1"/>
  <c r="L56" i="19" s="1"/>
  <c r="M56" i="19" s="1"/>
  <c r="N56" i="19" s="1"/>
  <c r="O56" i="19" s="1"/>
  <c r="C56" i="19"/>
  <c r="D56" i="19" s="1"/>
  <c r="E56" i="19" s="1"/>
  <c r="M5" i="19"/>
  <c r="B14" i="20" s="1"/>
  <c r="N7" i="19"/>
  <c r="M16" i="19"/>
  <c r="F58" i="19"/>
  <c r="G58" i="19" s="1"/>
  <c r="H58" i="19" s="1"/>
  <c r="I58" i="19" s="1"/>
  <c r="J58" i="19" s="1"/>
  <c r="K58" i="19" s="1"/>
  <c r="L58" i="19" s="1"/>
  <c r="M58" i="19" s="1"/>
  <c r="N58" i="19" s="1"/>
  <c r="O58" i="19" s="1"/>
  <c r="C58" i="19"/>
  <c r="D58" i="19" s="1"/>
  <c r="E58" i="19" s="1"/>
  <c r="B46" i="19"/>
  <c r="C46" i="19" s="1"/>
  <c r="D46" i="19" s="1"/>
  <c r="E46" i="19" s="1"/>
  <c r="F46" i="19" s="1"/>
  <c r="G46" i="19" s="1"/>
  <c r="H46" i="19" s="1"/>
  <c r="I46" i="19" s="1"/>
  <c r="J46" i="19" s="1"/>
  <c r="K46" i="19" s="1"/>
  <c r="L46" i="19" s="1"/>
  <c r="M46" i="19" s="1"/>
  <c r="N46" i="19" s="1"/>
  <c r="O46" i="19" s="1"/>
  <c r="B34" i="19"/>
  <c r="C34" i="19" s="1"/>
  <c r="D34" i="19" s="1"/>
  <c r="E34" i="19" s="1"/>
  <c r="A56" i="19"/>
  <c r="A50" i="19"/>
  <c r="A48" i="19"/>
  <c r="A47" i="19"/>
  <c r="A44" i="19"/>
  <c r="A43" i="19"/>
  <c r="B57" i="18"/>
  <c r="C57" i="18" s="1"/>
  <c r="D57" i="18" s="1"/>
  <c r="E57" i="18" s="1"/>
  <c r="B55" i="18"/>
  <c r="B52" i="18"/>
  <c r="B50" i="18"/>
  <c r="B49" i="18"/>
  <c r="C49" i="18" s="1"/>
  <c r="D49" i="18" s="1"/>
  <c r="B48" i="18"/>
  <c r="C48" i="18" s="1"/>
  <c r="B47" i="18"/>
  <c r="C47" i="18" s="1"/>
  <c r="D47" i="18" s="1"/>
  <c r="E47" i="18" s="1"/>
  <c r="F47" i="18" s="1"/>
  <c r="G47" i="18" s="1"/>
  <c r="H47" i="18" s="1"/>
  <c r="I47" i="18" s="1"/>
  <c r="J47" i="18" s="1"/>
  <c r="K47" i="18" s="1"/>
  <c r="L47" i="18" s="1"/>
  <c r="M47" i="18" s="1"/>
  <c r="N47" i="18" s="1"/>
  <c r="O47" i="18" s="1"/>
  <c r="B45" i="18"/>
  <c r="B44" i="18"/>
  <c r="C44" i="18" s="1"/>
  <c r="D44" i="18" s="1"/>
  <c r="E44" i="18" s="1"/>
  <c r="F44" i="18" s="1"/>
  <c r="G44" i="18" s="1"/>
  <c r="H44" i="18" s="1"/>
  <c r="I44" i="18" s="1"/>
  <c r="J44" i="18" s="1"/>
  <c r="K44" i="18" s="1"/>
  <c r="L44" i="18" s="1"/>
  <c r="M44" i="18" s="1"/>
  <c r="N44" i="18" s="1"/>
  <c r="O44" i="18" s="1"/>
  <c r="B43" i="18"/>
  <c r="C43" i="18" s="1"/>
  <c r="D43" i="18" s="1"/>
  <c r="E43" i="18" s="1"/>
  <c r="F43" i="18" s="1"/>
  <c r="G43" i="18" s="1"/>
  <c r="H43" i="18" s="1"/>
  <c r="I43" i="18" s="1"/>
  <c r="J43" i="18" s="1"/>
  <c r="K43" i="18" s="1"/>
  <c r="L43" i="18" s="1"/>
  <c r="M43" i="18" s="1"/>
  <c r="N43" i="18" s="1"/>
  <c r="O43" i="18" s="1"/>
  <c r="B42" i="18"/>
  <c r="C42" i="18" s="1"/>
  <c r="D42" i="18" s="1"/>
  <c r="E42" i="18" s="1"/>
  <c r="F42" i="18" s="1"/>
  <c r="G42" i="18" s="1"/>
  <c r="H42" i="18" s="1"/>
  <c r="I42" i="18" s="1"/>
  <c r="J42" i="18" s="1"/>
  <c r="K42" i="18" s="1"/>
  <c r="L42" i="18" s="1"/>
  <c r="M42" i="18" s="1"/>
  <c r="N42" i="18" s="1"/>
  <c r="O42" i="18" s="1"/>
  <c r="B41" i="18"/>
  <c r="C41" i="18" s="1"/>
  <c r="D41" i="18" s="1"/>
  <c r="E41" i="18" s="1"/>
  <c r="F41" i="18" s="1"/>
  <c r="G41" i="18" s="1"/>
  <c r="B40" i="18"/>
  <c r="C40" i="18" s="1"/>
  <c r="B39" i="18"/>
  <c r="C38" i="18"/>
  <c r="D38" i="18" s="1"/>
  <c r="E38" i="18" s="1"/>
  <c r="F38" i="18" s="1"/>
  <c r="G38" i="18" s="1"/>
  <c r="H38" i="18" s="1"/>
  <c r="I38" i="18" s="1"/>
  <c r="J38" i="18" s="1"/>
  <c r="K38" i="18" s="1"/>
  <c r="L38" i="18" s="1"/>
  <c r="M38" i="18" s="1"/>
  <c r="N38" i="18" s="1"/>
  <c r="O38" i="18" s="1"/>
  <c r="B37" i="18"/>
  <c r="C37" i="18" s="1"/>
  <c r="D37" i="18" s="1"/>
  <c r="E37" i="18" s="1"/>
  <c r="B36" i="18"/>
  <c r="C36" i="18" s="1"/>
  <c r="D36" i="18" s="1"/>
  <c r="E36" i="18" s="1"/>
  <c r="B35" i="18"/>
  <c r="C35" i="18" s="1"/>
  <c r="D35" i="18" s="1"/>
  <c r="E35" i="18" s="1"/>
  <c r="B34" i="18"/>
  <c r="C34" i="18" s="1"/>
  <c r="D34" i="18" s="1"/>
  <c r="E34" i="18" s="1"/>
  <c r="B33" i="18"/>
  <c r="C33" i="18" s="1"/>
  <c r="D33" i="18" s="1"/>
  <c r="E33" i="18" s="1"/>
  <c r="B32" i="18"/>
  <c r="C32" i="18" s="1"/>
  <c r="B27" i="18"/>
  <c r="B25" i="18"/>
  <c r="B23" i="18"/>
  <c r="C23" i="18" s="1"/>
  <c r="D23" i="18" s="1"/>
  <c r="E23" i="18" s="1"/>
  <c r="F23" i="18" s="1"/>
  <c r="G23" i="18" s="1"/>
  <c r="H23" i="18" s="1"/>
  <c r="I23" i="18" s="1"/>
  <c r="J23" i="18" s="1"/>
  <c r="K23" i="18" s="1"/>
  <c r="L23" i="18" s="1"/>
  <c r="M23" i="18" s="1"/>
  <c r="N23" i="18" s="1"/>
  <c r="O23" i="18" s="1"/>
  <c r="B22" i="18"/>
  <c r="C22" i="18" s="1"/>
  <c r="D22" i="18" s="1"/>
  <c r="E22" i="18" s="1"/>
  <c r="F22" i="18" s="1"/>
  <c r="G22" i="18" s="1"/>
  <c r="H22" i="18" s="1"/>
  <c r="I22" i="18" s="1"/>
  <c r="J22" i="18" s="1"/>
  <c r="K22" i="18" s="1"/>
  <c r="L22" i="18" s="1"/>
  <c r="M22" i="18" s="1"/>
  <c r="N22" i="18" s="1"/>
  <c r="O22" i="18" s="1"/>
  <c r="B21" i="18"/>
  <c r="B17" i="18"/>
  <c r="C17" i="18" s="1"/>
  <c r="D17" i="18" s="1"/>
  <c r="E17" i="18" s="1"/>
  <c r="F17" i="18" s="1"/>
  <c r="G17" i="18" s="1"/>
  <c r="H17" i="18" s="1"/>
  <c r="I17" i="18" s="1"/>
  <c r="J17" i="18" s="1"/>
  <c r="K17" i="18" s="1"/>
  <c r="L17" i="18" s="1"/>
  <c r="M17" i="18" s="1"/>
  <c r="N17" i="18" s="1"/>
  <c r="O17" i="18" s="1"/>
  <c r="B16" i="18"/>
  <c r="C16" i="18" s="1"/>
  <c r="D16" i="18" s="1"/>
  <c r="E16" i="18" s="1"/>
  <c r="F16" i="18" s="1"/>
  <c r="G16" i="18" s="1"/>
  <c r="H16" i="18" s="1"/>
  <c r="I16" i="18" s="1"/>
  <c r="J16" i="18" s="1"/>
  <c r="K16" i="18" s="1"/>
  <c r="L16" i="18" s="1"/>
  <c r="M16" i="18" s="1"/>
  <c r="N16" i="18" s="1"/>
  <c r="O16" i="18" s="1"/>
  <c r="B15" i="18"/>
  <c r="C15" i="18" s="1"/>
  <c r="D15" i="18" s="1"/>
  <c r="E15" i="18" s="1"/>
  <c r="F15" i="18" s="1"/>
  <c r="G15" i="18" s="1"/>
  <c r="H15" i="18" s="1"/>
  <c r="I15" i="18" s="1"/>
  <c r="J15" i="18" s="1"/>
  <c r="K15" i="18" s="1"/>
  <c r="L15" i="18" s="1"/>
  <c r="M15" i="18" s="1"/>
  <c r="N15" i="18" s="1"/>
  <c r="O15" i="18" s="1"/>
  <c r="B14" i="18"/>
  <c r="C14" i="18" s="1"/>
  <c r="D14" i="18" s="1"/>
  <c r="E14" i="18" s="1"/>
  <c r="F14" i="18" s="1"/>
  <c r="G14" i="18" s="1"/>
  <c r="H14" i="18" s="1"/>
  <c r="I14" i="18" s="1"/>
  <c r="J14" i="18" s="1"/>
  <c r="K14" i="18" s="1"/>
  <c r="L14" i="18" s="1"/>
  <c r="M14" i="18" s="1"/>
  <c r="N14" i="18" s="1"/>
  <c r="O14" i="18" s="1"/>
  <c r="B13" i="18"/>
  <c r="C13" i="18" s="1"/>
  <c r="D13" i="18" s="1"/>
  <c r="E13" i="18" s="1"/>
  <c r="F13" i="18" s="1"/>
  <c r="G13" i="18" s="1"/>
  <c r="H13" i="18" s="1"/>
  <c r="I13" i="18" s="1"/>
  <c r="J13" i="18" s="1"/>
  <c r="K13" i="18" s="1"/>
  <c r="L13" i="18" s="1"/>
  <c r="M13" i="18" s="1"/>
  <c r="N13" i="18" s="1"/>
  <c r="O13" i="18" s="1"/>
  <c r="B12" i="18"/>
  <c r="C12" i="18" s="1"/>
  <c r="D12" i="18" s="1"/>
  <c r="E12" i="18" s="1"/>
  <c r="F12" i="18" s="1"/>
  <c r="G12" i="18" s="1"/>
  <c r="H12" i="18" s="1"/>
  <c r="I12" i="18" s="1"/>
  <c r="J12" i="18" s="1"/>
  <c r="K12" i="18" s="1"/>
  <c r="L12" i="18" s="1"/>
  <c r="M12" i="18" s="1"/>
  <c r="N12" i="18" s="1"/>
  <c r="O12" i="18" s="1"/>
  <c r="B11" i="18"/>
  <c r="C11" i="18" s="1"/>
  <c r="D11" i="18" s="1"/>
  <c r="E11" i="18" s="1"/>
  <c r="F11" i="18" s="1"/>
  <c r="G11" i="18" s="1"/>
  <c r="H11" i="18" s="1"/>
  <c r="I11" i="18" s="1"/>
  <c r="J11" i="18" s="1"/>
  <c r="K11" i="18" s="1"/>
  <c r="L11" i="18" s="1"/>
  <c r="M11" i="18" s="1"/>
  <c r="N11" i="18" s="1"/>
  <c r="O11" i="18" s="1"/>
  <c r="B10" i="18"/>
  <c r="C10" i="18" s="1"/>
  <c r="D10" i="18" s="1"/>
  <c r="E10" i="18" s="1"/>
  <c r="F10" i="18" s="1"/>
  <c r="G10" i="18" s="1"/>
  <c r="H10" i="18" s="1"/>
  <c r="I10" i="18" s="1"/>
  <c r="J10" i="18" s="1"/>
  <c r="K10" i="18" s="1"/>
  <c r="L10" i="18" s="1"/>
  <c r="M10" i="18" s="1"/>
  <c r="N10" i="18" s="1"/>
  <c r="O10" i="18" s="1"/>
  <c r="B9" i="18"/>
  <c r="C9" i="18" s="1"/>
  <c r="D9" i="18" s="1"/>
  <c r="E9" i="18" s="1"/>
  <c r="F9" i="18" s="1"/>
  <c r="G9" i="18" s="1"/>
  <c r="H9" i="18" s="1"/>
  <c r="I9" i="18" s="1"/>
  <c r="J9" i="18" s="1"/>
  <c r="K9" i="18" s="1"/>
  <c r="L9" i="18" s="1"/>
  <c r="M9" i="18" s="1"/>
  <c r="N9" i="18" s="1"/>
  <c r="O9" i="18" s="1"/>
  <c r="B8" i="18"/>
  <c r="C8" i="18" s="1"/>
  <c r="D8" i="18" s="1"/>
  <c r="E8" i="18" s="1"/>
  <c r="F8" i="18" s="1"/>
  <c r="G8" i="18" s="1"/>
  <c r="H8" i="18" s="1"/>
  <c r="I8" i="18" s="1"/>
  <c r="J8" i="18" s="1"/>
  <c r="K8" i="18" s="1"/>
  <c r="L8" i="18" s="1"/>
  <c r="M8" i="18" s="1"/>
  <c r="N8" i="18" s="1"/>
  <c r="O8" i="18" s="1"/>
  <c r="B7" i="18"/>
  <c r="C7" i="18" s="1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N7" i="18" s="1"/>
  <c r="O7" i="18" s="1"/>
  <c r="B6" i="18"/>
  <c r="C6" i="18" s="1"/>
  <c r="D6" i="18" s="1"/>
  <c r="E6" i="18" s="1"/>
  <c r="F6" i="18" s="1"/>
  <c r="G6" i="18" s="1"/>
  <c r="H6" i="18" s="1"/>
  <c r="I6" i="18" s="1"/>
  <c r="J6" i="18" s="1"/>
  <c r="K6" i="18" s="1"/>
  <c r="L6" i="18" s="1"/>
  <c r="M6" i="18" s="1"/>
  <c r="N6" i="18" s="1"/>
  <c r="O6" i="18" s="1"/>
  <c r="A50" i="18"/>
  <c r="A49" i="18"/>
  <c r="A48" i="18"/>
  <c r="A47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25" i="18"/>
  <c r="A23" i="18"/>
  <c r="A22" i="18"/>
  <c r="A21" i="18"/>
  <c r="A20" i="18"/>
  <c r="A17" i="18"/>
  <c r="A16" i="18"/>
  <c r="A15" i="18"/>
  <c r="A13" i="18"/>
  <c r="A12" i="18"/>
  <c r="A11" i="18"/>
  <c r="A10" i="18"/>
  <c r="A9" i="18"/>
  <c r="A8" i="18"/>
  <c r="A7" i="18"/>
  <c r="A6" i="18"/>
  <c r="O4" i="21" l="1"/>
  <c r="O5" i="21"/>
  <c r="K34" i="18"/>
  <c r="L34" i="18" s="1"/>
  <c r="M34" i="18" s="1"/>
  <c r="N34" i="18" s="1"/>
  <c r="O34" i="18" s="1"/>
  <c r="F34" i="18"/>
  <c r="G34" i="18" s="1"/>
  <c r="H34" i="18" s="1"/>
  <c r="I34" i="18" s="1"/>
  <c r="J34" i="18" s="1"/>
  <c r="F36" i="18"/>
  <c r="G36" i="18" s="1"/>
  <c r="H36" i="18" s="1"/>
  <c r="I36" i="18" s="1"/>
  <c r="J36" i="18" s="1"/>
  <c r="K36" i="18" s="1"/>
  <c r="L36" i="18" s="1"/>
  <c r="M36" i="18" s="1"/>
  <c r="N36" i="18" s="1"/>
  <c r="O36" i="18" s="1"/>
  <c r="N5" i="19"/>
  <c r="B15" i="20" s="1"/>
  <c r="O7" i="19"/>
  <c r="N16" i="19"/>
  <c r="F35" i="18"/>
  <c r="G35" i="18" s="1"/>
  <c r="H35" i="18" s="1"/>
  <c r="I35" i="18" s="1"/>
  <c r="J35" i="18" s="1"/>
  <c r="K35" i="18" s="1"/>
  <c r="L35" i="18" s="1"/>
  <c r="M35" i="18" s="1"/>
  <c r="N35" i="18" s="1"/>
  <c r="O35" i="18" s="1"/>
  <c r="F33" i="18"/>
  <c r="G33" i="18" s="1"/>
  <c r="H33" i="18" s="1"/>
  <c r="I33" i="18" s="1"/>
  <c r="J33" i="18" s="1"/>
  <c r="K33" i="18" s="1"/>
  <c r="L33" i="18" s="1"/>
  <c r="M33" i="18" s="1"/>
  <c r="N33" i="18" s="1"/>
  <c r="O33" i="18" s="1"/>
  <c r="F37" i="18"/>
  <c r="G37" i="18" s="1"/>
  <c r="H37" i="18" s="1"/>
  <c r="I37" i="18" s="1"/>
  <c r="J37" i="18" s="1"/>
  <c r="K37" i="18" s="1"/>
  <c r="L37" i="18" s="1"/>
  <c r="M37" i="18" s="1"/>
  <c r="N37" i="18" s="1"/>
  <c r="O37" i="18" s="1"/>
  <c r="D48" i="18"/>
  <c r="E48" i="18" s="1"/>
  <c r="C50" i="18"/>
  <c r="C39" i="18"/>
  <c r="C45" i="18" s="1"/>
  <c r="C52" i="18" s="1"/>
  <c r="C55" i="18" s="1"/>
  <c r="D40" i="18"/>
  <c r="D50" i="18"/>
  <c r="E49" i="18"/>
  <c r="F49" i="18" s="1"/>
  <c r="G49" i="18" s="1"/>
  <c r="H49" i="18" s="1"/>
  <c r="I49" i="18" s="1"/>
  <c r="J49" i="18" s="1"/>
  <c r="K49" i="18" s="1"/>
  <c r="L49" i="18" s="1"/>
  <c r="M49" i="18" s="1"/>
  <c r="N49" i="18" s="1"/>
  <c r="O49" i="18" s="1"/>
  <c r="G39" i="18"/>
  <c r="H41" i="18"/>
  <c r="C21" i="18"/>
  <c r="D32" i="18"/>
  <c r="E32" i="18" s="1"/>
  <c r="B37" i="19"/>
  <c r="F34" i="19"/>
  <c r="F39" i="18"/>
  <c r="O5" i="19" l="1"/>
  <c r="B16" i="20" s="1"/>
  <c r="B18" i="20" s="1"/>
  <c r="O16" i="19"/>
  <c r="E40" i="18"/>
  <c r="E39" i="18" s="1"/>
  <c r="D39" i="18"/>
  <c r="D45" i="18" s="1"/>
  <c r="D52" i="18" s="1"/>
  <c r="D55" i="18" s="1"/>
  <c r="B39" i="19"/>
  <c r="C37" i="19"/>
  <c r="D37" i="19" s="1"/>
  <c r="E37" i="19" s="1"/>
  <c r="F32" i="18"/>
  <c r="E45" i="18"/>
  <c r="D21" i="18"/>
  <c r="C25" i="18"/>
  <c r="C27" i="18" s="1"/>
  <c r="F45" i="18"/>
  <c r="H39" i="18"/>
  <c r="I41" i="18"/>
  <c r="E50" i="18"/>
  <c r="F48" i="18"/>
  <c r="G34" i="19"/>
  <c r="F37" i="19"/>
  <c r="F39" i="19" s="1"/>
  <c r="E52" i="18" l="1"/>
  <c r="E55" i="18" s="1"/>
  <c r="G32" i="18"/>
  <c r="H32" i="18" s="1"/>
  <c r="I32" i="18" s="1"/>
  <c r="J32" i="18" s="1"/>
  <c r="K32" i="18" s="1"/>
  <c r="L32" i="18" s="1"/>
  <c r="I39" i="18"/>
  <c r="J41" i="18"/>
  <c r="E21" i="18"/>
  <c r="D25" i="18"/>
  <c r="D27" i="18" s="1"/>
  <c r="B51" i="19"/>
  <c r="C39" i="19"/>
  <c r="D39" i="19" s="1"/>
  <c r="E39" i="19" s="1"/>
  <c r="G48" i="18"/>
  <c r="F50" i="18"/>
  <c r="F52" i="18" s="1"/>
  <c r="H34" i="19"/>
  <c r="G37" i="19"/>
  <c r="G39" i="19" s="1"/>
  <c r="G51" i="19" s="1"/>
  <c r="M32" i="18" l="1"/>
  <c r="H45" i="18"/>
  <c r="J39" i="18"/>
  <c r="J45" i="18" s="1"/>
  <c r="K41" i="18"/>
  <c r="G45" i="18"/>
  <c r="I45" i="18"/>
  <c r="H48" i="18"/>
  <c r="G50" i="18"/>
  <c r="B60" i="19"/>
  <c r="C51" i="19"/>
  <c r="D51" i="19" s="1"/>
  <c r="E51" i="19" s="1"/>
  <c r="F51" i="19" s="1"/>
  <c r="E25" i="18"/>
  <c r="E27" i="18" s="1"/>
  <c r="H21" i="18"/>
  <c r="H25" i="18" s="1"/>
  <c r="H27" i="18" s="1"/>
  <c r="H57" i="18" s="1"/>
  <c r="J21" i="18"/>
  <c r="G21" i="18"/>
  <c r="G25" i="18" s="1"/>
  <c r="G27" i="18" s="1"/>
  <c r="G57" i="18" s="1"/>
  <c r="F21" i="18"/>
  <c r="F25" i="18" s="1"/>
  <c r="F27" i="18" s="1"/>
  <c r="F57" i="18" s="1"/>
  <c r="F55" i="18" s="1"/>
  <c r="I21" i="18"/>
  <c r="I25" i="18" s="1"/>
  <c r="I27" i="18" s="1"/>
  <c r="I57" i="18" s="1"/>
  <c r="I34" i="19"/>
  <c r="H37" i="19"/>
  <c r="H39" i="19" s="1"/>
  <c r="H51" i="19" s="1"/>
  <c r="N32" i="18" l="1"/>
  <c r="G52" i="18"/>
  <c r="G55" i="18" s="1"/>
  <c r="K39" i="18"/>
  <c r="K45" i="18" s="1"/>
  <c r="L41" i="18"/>
  <c r="J25" i="18"/>
  <c r="J27" i="18" s="1"/>
  <c r="J57" i="18" s="1"/>
  <c r="K21" i="18"/>
  <c r="C60" i="19"/>
  <c r="B62" i="19"/>
  <c r="F60" i="19"/>
  <c r="F62" i="19" s="1"/>
  <c r="C7" i="20" s="1"/>
  <c r="D7" i="20" s="1"/>
  <c r="E7" i="20" s="1"/>
  <c r="H50" i="18"/>
  <c r="H52" i="18" s="1"/>
  <c r="H55" i="18" s="1"/>
  <c r="I48" i="18"/>
  <c r="J34" i="19"/>
  <c r="I37" i="19"/>
  <c r="I39" i="19" s="1"/>
  <c r="I51" i="19" s="1"/>
  <c r="G63" i="1"/>
  <c r="L23" i="5"/>
  <c r="K25" i="18" l="1"/>
  <c r="K27" i="18" s="1"/>
  <c r="K57" i="18" s="1"/>
  <c r="L21" i="18"/>
  <c r="L39" i="18"/>
  <c r="L45" i="18" s="1"/>
  <c r="M41" i="18"/>
  <c r="O32" i="18"/>
  <c r="D60" i="19"/>
  <c r="C62" i="19"/>
  <c r="C4" i="20" s="1"/>
  <c r="G60" i="19"/>
  <c r="G62" i="19" s="1"/>
  <c r="C8" i="20" s="1"/>
  <c r="D8" i="20" s="1"/>
  <c r="E8" i="20" s="1"/>
  <c r="J37" i="19"/>
  <c r="J39" i="19" s="1"/>
  <c r="J51" i="19" s="1"/>
  <c r="K34" i="19"/>
  <c r="I50" i="18"/>
  <c r="I52" i="18" s="1"/>
  <c r="I55" i="18" s="1"/>
  <c r="J48" i="18"/>
  <c r="H18" i="5"/>
  <c r="I18" i="5" s="1"/>
  <c r="H19" i="5"/>
  <c r="I19" i="5" s="1"/>
  <c r="H25" i="5"/>
  <c r="I25" i="5" s="1"/>
  <c r="H27" i="5"/>
  <c r="I27" i="5" s="1"/>
  <c r="H28" i="5"/>
  <c r="I28" i="5" s="1"/>
  <c r="H29" i="5"/>
  <c r="I29" i="5" s="1"/>
  <c r="H30" i="5"/>
  <c r="I30" i="5" s="1"/>
  <c r="H45" i="5"/>
  <c r="I45" i="5" s="1"/>
  <c r="H50" i="5"/>
  <c r="I50" i="5" s="1"/>
  <c r="H52" i="5"/>
  <c r="I52" i="5" s="1"/>
  <c r="H53" i="5"/>
  <c r="I53" i="5" s="1"/>
  <c r="H62" i="5"/>
  <c r="I62" i="5" s="1"/>
  <c r="H64" i="5"/>
  <c r="I64" i="5" s="1"/>
  <c r="I8" i="9"/>
  <c r="K8" i="9"/>
  <c r="J8" i="9" s="1"/>
  <c r="M8" i="9"/>
  <c r="L8" i="9" s="1"/>
  <c r="I9" i="9"/>
  <c r="K9" i="9"/>
  <c r="L9" i="9" s="1"/>
  <c r="M9" i="9"/>
  <c r="I10" i="9"/>
  <c r="K10" i="9"/>
  <c r="J10" i="9" s="1"/>
  <c r="M10" i="9"/>
  <c r="I11" i="9"/>
  <c r="K11" i="9"/>
  <c r="M11" i="9"/>
  <c r="L11" i="9" s="1"/>
  <c r="I12" i="9"/>
  <c r="K12" i="9"/>
  <c r="J12" i="9" s="1"/>
  <c r="M12" i="9"/>
  <c r="L12" i="9" s="1"/>
  <c r="I13" i="9"/>
  <c r="K13" i="9"/>
  <c r="M13" i="9"/>
  <c r="I14" i="9"/>
  <c r="K14" i="9"/>
  <c r="J14" i="9" s="1"/>
  <c r="M14" i="9"/>
  <c r="L14" i="9" s="1"/>
  <c r="I15" i="9"/>
  <c r="J15" i="9" s="1"/>
  <c r="K15" i="9"/>
  <c r="M15" i="9"/>
  <c r="L15" i="9" s="1"/>
  <c r="I16" i="9"/>
  <c r="K16" i="9"/>
  <c r="J16" i="9" s="1"/>
  <c r="M16" i="9"/>
  <c r="L16" i="9" s="1"/>
  <c r="I17" i="9"/>
  <c r="K17" i="9"/>
  <c r="L17" i="9" s="1"/>
  <c r="M17" i="9"/>
  <c r="I18" i="9"/>
  <c r="K18" i="9"/>
  <c r="J18" i="9" s="1"/>
  <c r="M18" i="9"/>
  <c r="I19" i="9"/>
  <c r="K19" i="9"/>
  <c r="M19" i="9"/>
  <c r="L19" i="9" s="1"/>
  <c r="I20" i="9"/>
  <c r="K20" i="9"/>
  <c r="J20" i="9" s="1"/>
  <c r="M20" i="9"/>
  <c r="L20" i="9" s="1"/>
  <c r="I21" i="9"/>
  <c r="K21" i="9"/>
  <c r="M21" i="9"/>
  <c r="I22" i="9"/>
  <c r="K22" i="9"/>
  <c r="J22" i="9" s="1"/>
  <c r="M22" i="9"/>
  <c r="L22" i="9" s="1"/>
  <c r="I23" i="9"/>
  <c r="J23" i="9" s="1"/>
  <c r="K23" i="9"/>
  <c r="M23" i="9"/>
  <c r="L23" i="9" s="1"/>
  <c r="I24" i="9"/>
  <c r="K24" i="9"/>
  <c r="J24" i="9" s="1"/>
  <c r="M24" i="9"/>
  <c r="L24" i="9" s="1"/>
  <c r="I25" i="9"/>
  <c r="K25" i="9"/>
  <c r="L25" i="9" s="1"/>
  <c r="M25" i="9"/>
  <c r="I26" i="9"/>
  <c r="K26" i="9"/>
  <c r="J26" i="9" s="1"/>
  <c r="M26" i="9"/>
  <c r="I27" i="9"/>
  <c r="K27" i="9"/>
  <c r="M27" i="9"/>
  <c r="L27" i="9" s="1"/>
  <c r="I28" i="9"/>
  <c r="K28" i="9"/>
  <c r="J28" i="9" s="1"/>
  <c r="M28" i="9"/>
  <c r="L28" i="9" s="1"/>
  <c r="I29" i="9"/>
  <c r="K29" i="9"/>
  <c r="I30" i="9"/>
  <c r="M30" i="9"/>
  <c r="I31" i="9"/>
  <c r="K31" i="9"/>
  <c r="M31" i="9"/>
  <c r="L31" i="9" s="1"/>
  <c r="I32" i="9"/>
  <c r="M32" i="9"/>
  <c r="I33" i="9"/>
  <c r="K33" i="9"/>
  <c r="M33" i="9"/>
  <c r="I34" i="9"/>
  <c r="M34" i="9"/>
  <c r="I35" i="9"/>
  <c r="K35" i="9"/>
  <c r="M35" i="9"/>
  <c r="I36" i="9"/>
  <c r="K36" i="9"/>
  <c r="J36" i="9" s="1"/>
  <c r="L36" i="9"/>
  <c r="M36" i="9"/>
  <c r="I37" i="9"/>
  <c r="K37" i="9"/>
  <c r="M37" i="9"/>
  <c r="I38" i="9"/>
  <c r="K38" i="9"/>
  <c r="J38" i="9" s="1"/>
  <c r="M38" i="9"/>
  <c r="L38" i="9" s="1"/>
  <c r="I39" i="9"/>
  <c r="K39" i="9"/>
  <c r="M39" i="9"/>
  <c r="L39" i="9" s="1"/>
  <c r="I40" i="9"/>
  <c r="K40" i="9"/>
  <c r="M40" i="9"/>
  <c r="L40" i="9" s="1"/>
  <c r="I41" i="9"/>
  <c r="K41" i="9"/>
  <c r="I42" i="9"/>
  <c r="M42" i="9"/>
  <c r="I43" i="9"/>
  <c r="M43" i="9"/>
  <c r="I44" i="9"/>
  <c r="K44" i="9"/>
  <c r="J44" i="9" s="1"/>
  <c r="L44" i="9"/>
  <c r="M44" i="9"/>
  <c r="I45" i="9"/>
  <c r="K45" i="9"/>
  <c r="M45" i="9"/>
  <c r="I46" i="9"/>
  <c r="M46" i="9"/>
  <c r="I47" i="9"/>
  <c r="K47" i="9"/>
  <c r="M47" i="9"/>
  <c r="I48" i="9"/>
  <c r="K48" i="9"/>
  <c r="J48" i="9" s="1"/>
  <c r="L48" i="9"/>
  <c r="M48" i="9"/>
  <c r="I49" i="9"/>
  <c r="K49" i="9"/>
  <c r="M49" i="9"/>
  <c r="I50" i="9"/>
  <c r="K50" i="9"/>
  <c r="J50" i="9" s="1"/>
  <c r="M50" i="9"/>
  <c r="L50" i="9" s="1"/>
  <c r="I51" i="9"/>
  <c r="K51" i="9"/>
  <c r="M51" i="9"/>
  <c r="L51" i="9" s="1"/>
  <c r="I52" i="9"/>
  <c r="K52" i="9"/>
  <c r="M52" i="9"/>
  <c r="L52" i="9" s="1"/>
  <c r="I53" i="9"/>
  <c r="M53" i="9"/>
  <c r="I54" i="9"/>
  <c r="K54" i="9"/>
  <c r="J54" i="9" s="1"/>
  <c r="M54" i="9"/>
  <c r="I55" i="9"/>
  <c r="M55" i="9"/>
  <c r="M7" i="9"/>
  <c r="K7" i="9"/>
  <c r="I7" i="9"/>
  <c r="F8" i="9"/>
  <c r="H8" i="9"/>
  <c r="F9" i="9"/>
  <c r="H9" i="9"/>
  <c r="F10" i="9"/>
  <c r="H10" i="9"/>
  <c r="E11" i="9"/>
  <c r="F11" i="9"/>
  <c r="G11" i="9"/>
  <c r="H11" i="9"/>
  <c r="F12" i="9"/>
  <c r="H12" i="9"/>
  <c r="E13" i="9"/>
  <c r="F13" i="9"/>
  <c r="G13" i="9"/>
  <c r="H13" i="9"/>
  <c r="F14" i="9"/>
  <c r="H14" i="9"/>
  <c r="F15" i="9"/>
  <c r="H15" i="9"/>
  <c r="F16" i="9"/>
  <c r="H16" i="9"/>
  <c r="F17" i="9"/>
  <c r="H17" i="9"/>
  <c r="F18" i="9"/>
  <c r="H18" i="9"/>
  <c r="E19" i="9"/>
  <c r="F19" i="9"/>
  <c r="G19" i="9"/>
  <c r="H19" i="9"/>
  <c r="F20" i="9"/>
  <c r="H20" i="9"/>
  <c r="F21" i="9"/>
  <c r="G21" i="9"/>
  <c r="H21" i="9"/>
  <c r="F22" i="9"/>
  <c r="G22" i="9"/>
  <c r="H22" i="9"/>
  <c r="F23" i="9"/>
  <c r="G23" i="9"/>
  <c r="H23" i="9"/>
  <c r="F24" i="9"/>
  <c r="H24" i="9"/>
  <c r="F25" i="9"/>
  <c r="H25" i="9"/>
  <c r="E26" i="9"/>
  <c r="F26" i="9"/>
  <c r="H26" i="9"/>
  <c r="E27" i="9"/>
  <c r="F27" i="9"/>
  <c r="H27" i="9"/>
  <c r="E28" i="9"/>
  <c r="F28" i="9"/>
  <c r="H28" i="9"/>
  <c r="F29" i="9"/>
  <c r="F31" i="9"/>
  <c r="H31" i="9"/>
  <c r="F33" i="9"/>
  <c r="H33" i="9"/>
  <c r="F35" i="9"/>
  <c r="H35" i="9"/>
  <c r="F36" i="9"/>
  <c r="H36" i="9"/>
  <c r="E37" i="9"/>
  <c r="F37" i="9"/>
  <c r="G37" i="9"/>
  <c r="H37" i="9"/>
  <c r="F38" i="9"/>
  <c r="G38" i="9"/>
  <c r="H38" i="9"/>
  <c r="F39" i="9"/>
  <c r="G39" i="9"/>
  <c r="H39" i="9"/>
  <c r="F40" i="9"/>
  <c r="H40" i="9"/>
  <c r="E41" i="9"/>
  <c r="F41" i="9"/>
  <c r="F44" i="9"/>
  <c r="H44" i="9"/>
  <c r="F45" i="9"/>
  <c r="H45" i="9"/>
  <c r="F47" i="9"/>
  <c r="H47" i="9"/>
  <c r="F48" i="9"/>
  <c r="H48" i="9"/>
  <c r="F49" i="9"/>
  <c r="H49" i="9"/>
  <c r="E50" i="9"/>
  <c r="F50" i="9"/>
  <c r="G50" i="9"/>
  <c r="H50" i="9"/>
  <c r="F51" i="9"/>
  <c r="G51" i="9"/>
  <c r="H51" i="9"/>
  <c r="F52" i="9"/>
  <c r="H52" i="9"/>
  <c r="F54" i="9"/>
  <c r="H54" i="9"/>
  <c r="N41" i="18" l="1"/>
  <c r="M39" i="18"/>
  <c r="M45" i="18" s="1"/>
  <c r="L45" i="9"/>
  <c r="L37" i="9"/>
  <c r="J35" i="9"/>
  <c r="J27" i="9"/>
  <c r="L21" i="9"/>
  <c r="J19" i="9"/>
  <c r="L13" i="9"/>
  <c r="J11" i="9"/>
  <c r="L25" i="18"/>
  <c r="L27" i="18" s="1"/>
  <c r="L57" i="18" s="1"/>
  <c r="M21" i="18"/>
  <c r="L49" i="9"/>
  <c r="J47" i="9"/>
  <c r="L33" i="9"/>
  <c r="L54" i="9"/>
  <c r="J52" i="9"/>
  <c r="J51" i="9"/>
  <c r="L47" i="9"/>
  <c r="J40" i="9"/>
  <c r="J39" i="9"/>
  <c r="L35" i="9"/>
  <c r="J31" i="9"/>
  <c r="L26" i="9"/>
  <c r="L18" i="9"/>
  <c r="L10" i="9"/>
  <c r="J50" i="18"/>
  <c r="J52" i="18" s="1"/>
  <c r="J55" i="18" s="1"/>
  <c r="K48" i="18"/>
  <c r="D4" i="20"/>
  <c r="E60" i="19"/>
  <c r="E62" i="19" s="1"/>
  <c r="C6" i="20" s="1"/>
  <c r="D6" i="20" s="1"/>
  <c r="E6" i="20" s="1"/>
  <c r="D62" i="19"/>
  <c r="C5" i="20" s="1"/>
  <c r="D5" i="20" s="1"/>
  <c r="E5" i="20" s="1"/>
  <c r="L34" i="19"/>
  <c r="K37" i="19"/>
  <c r="K39" i="19" s="1"/>
  <c r="K51" i="19" s="1"/>
  <c r="H60" i="19"/>
  <c r="H62" i="19" s="1"/>
  <c r="C9" i="20" s="1"/>
  <c r="D9" i="20" s="1"/>
  <c r="E9" i="20" s="1"/>
  <c r="J49" i="9"/>
  <c r="J45" i="9"/>
  <c r="J41" i="9"/>
  <c r="J37" i="9"/>
  <c r="J33" i="9"/>
  <c r="J25" i="9"/>
  <c r="J21" i="9"/>
  <c r="J13" i="9"/>
  <c r="J29" i="9"/>
  <c r="J17" i="9"/>
  <c r="J9" i="9"/>
  <c r="K50" i="18" l="1"/>
  <c r="K52" i="18" s="1"/>
  <c r="K55" i="18" s="1"/>
  <c r="L48" i="18"/>
  <c r="N21" i="18"/>
  <c r="M25" i="18"/>
  <c r="M27" i="18" s="1"/>
  <c r="M57" i="18" s="1"/>
  <c r="N39" i="18"/>
  <c r="N45" i="18" s="1"/>
  <c r="O41" i="18"/>
  <c r="O39" i="18" s="1"/>
  <c r="O45" i="18" s="1"/>
  <c r="I60" i="19"/>
  <c r="I62" i="19" s="1"/>
  <c r="C10" i="20" s="1"/>
  <c r="M34" i="19"/>
  <c r="L37" i="19"/>
  <c r="L39" i="19" s="1"/>
  <c r="L51" i="19" s="1"/>
  <c r="F43" i="15"/>
  <c r="F44" i="15" s="1"/>
  <c r="D43" i="15"/>
  <c r="D44" i="15" s="1"/>
  <c r="C43" i="15"/>
  <c r="C44" i="15" s="1"/>
  <c r="B43" i="15"/>
  <c r="B44" i="15" s="1"/>
  <c r="F36" i="15"/>
  <c r="D36" i="15"/>
  <c r="C36" i="15"/>
  <c r="B36" i="15"/>
  <c r="F35" i="15"/>
  <c r="D35" i="15"/>
  <c r="C35" i="15"/>
  <c r="B35" i="15"/>
  <c r="F34" i="15"/>
  <c r="D34" i="15"/>
  <c r="C45" i="15" s="1"/>
  <c r="C34" i="15"/>
  <c r="B45" i="15" s="1"/>
  <c r="B34" i="15"/>
  <c r="F27" i="15"/>
  <c r="E27" i="15"/>
  <c r="D27" i="15"/>
  <c r="C27" i="15"/>
  <c r="B27" i="15"/>
  <c r="C55" i="9"/>
  <c r="C53" i="9"/>
  <c r="C46" i="9"/>
  <c r="C43" i="9"/>
  <c r="C42" i="9"/>
  <c r="D41" i="9"/>
  <c r="C34" i="9"/>
  <c r="C32" i="9"/>
  <c r="C30" i="9"/>
  <c r="D29" i="9"/>
  <c r="A51" i="9"/>
  <c r="A45" i="9"/>
  <c r="A43" i="9"/>
  <c r="A42" i="9"/>
  <c r="A39" i="9"/>
  <c r="A38" i="9"/>
  <c r="F22" i="7"/>
  <c r="F19" i="7"/>
  <c r="F38" i="7"/>
  <c r="F39" i="7"/>
  <c r="F45" i="7"/>
  <c r="F46" i="7"/>
  <c r="D67" i="7"/>
  <c r="M67" i="7" s="1"/>
  <c r="C67" i="7"/>
  <c r="K67" i="7" s="1"/>
  <c r="B67" i="7"/>
  <c r="D65" i="7"/>
  <c r="C65" i="7"/>
  <c r="B65" i="7"/>
  <c r="D63" i="7"/>
  <c r="C63" i="7"/>
  <c r="B63" i="7"/>
  <c r="D62" i="7"/>
  <c r="C62" i="7"/>
  <c r="B62" i="7"/>
  <c r="D61" i="7"/>
  <c r="M61" i="7" s="1"/>
  <c r="C61" i="7"/>
  <c r="B61" i="7"/>
  <c r="I61" i="7" s="1"/>
  <c r="D60" i="7"/>
  <c r="C60" i="7"/>
  <c r="B60" i="7"/>
  <c r="D59" i="7"/>
  <c r="C59" i="7"/>
  <c r="B59" i="7"/>
  <c r="D58" i="7"/>
  <c r="C58" i="7"/>
  <c r="B58" i="7"/>
  <c r="D57" i="7"/>
  <c r="M57" i="7" s="1"/>
  <c r="C57" i="7"/>
  <c r="K57" i="7" s="1"/>
  <c r="B57" i="7"/>
  <c r="I57" i="7" s="1"/>
  <c r="D56" i="7"/>
  <c r="C56" i="7"/>
  <c r="B56" i="7"/>
  <c r="D53" i="7"/>
  <c r="C53" i="7"/>
  <c r="B53" i="7"/>
  <c r="D52" i="7"/>
  <c r="C52" i="7"/>
  <c r="B52" i="7"/>
  <c r="D51" i="7"/>
  <c r="M51" i="7" s="1"/>
  <c r="C51" i="7"/>
  <c r="K51" i="7" s="1"/>
  <c r="B51" i="7"/>
  <c r="I51" i="7" s="1"/>
  <c r="D50" i="7"/>
  <c r="C50" i="7"/>
  <c r="B50" i="7"/>
  <c r="D49" i="7"/>
  <c r="C49" i="7"/>
  <c r="B49" i="7"/>
  <c r="D47" i="7"/>
  <c r="C47" i="7"/>
  <c r="B47" i="7"/>
  <c r="D46" i="7"/>
  <c r="M46" i="7" s="1"/>
  <c r="D45" i="7"/>
  <c r="H45" i="7" s="1"/>
  <c r="D44" i="7"/>
  <c r="C44" i="7"/>
  <c r="D43" i="7"/>
  <c r="M43" i="7" s="1"/>
  <c r="C43" i="7"/>
  <c r="B43" i="7"/>
  <c r="I43" i="7" s="1"/>
  <c r="D42" i="7"/>
  <c r="C42" i="7"/>
  <c r="B42" i="7"/>
  <c r="D41" i="7"/>
  <c r="C41" i="7"/>
  <c r="B41" i="7"/>
  <c r="D40" i="7"/>
  <c r="C40" i="7"/>
  <c r="F40" i="7" s="1"/>
  <c r="D39" i="7"/>
  <c r="H39" i="7" s="1"/>
  <c r="D38" i="7"/>
  <c r="M38" i="7" s="1"/>
  <c r="D37" i="7"/>
  <c r="C37" i="7"/>
  <c r="B37" i="7"/>
  <c r="D36" i="7"/>
  <c r="M36" i="7" s="1"/>
  <c r="C36" i="7"/>
  <c r="K36" i="7" s="1"/>
  <c r="B36" i="7"/>
  <c r="I36" i="7" s="1"/>
  <c r="D35" i="7"/>
  <c r="C35" i="7"/>
  <c r="B35" i="7"/>
  <c r="D34" i="7"/>
  <c r="C34" i="7"/>
  <c r="B34" i="7"/>
  <c r="D29" i="7"/>
  <c r="M29" i="7" s="1"/>
  <c r="C29" i="7"/>
  <c r="B29" i="7"/>
  <c r="D27" i="7"/>
  <c r="C27" i="7"/>
  <c r="B27" i="7"/>
  <c r="D26" i="7"/>
  <c r="C26" i="7"/>
  <c r="B26" i="7"/>
  <c r="D25" i="7"/>
  <c r="C25" i="7"/>
  <c r="B25" i="7"/>
  <c r="D24" i="7"/>
  <c r="M24" i="7" s="1"/>
  <c r="C24" i="7"/>
  <c r="K24" i="7" s="1"/>
  <c r="B24" i="7"/>
  <c r="I24" i="7" s="1"/>
  <c r="D23" i="7"/>
  <c r="C23" i="7"/>
  <c r="B23" i="7"/>
  <c r="D20" i="7"/>
  <c r="C20" i="7"/>
  <c r="B20" i="7"/>
  <c r="D19" i="7"/>
  <c r="H19" i="7" s="1"/>
  <c r="D18" i="7"/>
  <c r="C18" i="7"/>
  <c r="B18" i="7"/>
  <c r="D17" i="7"/>
  <c r="C17" i="7"/>
  <c r="B17" i="7"/>
  <c r="D16" i="7"/>
  <c r="M16" i="7" s="1"/>
  <c r="C16" i="7"/>
  <c r="K16" i="7" s="1"/>
  <c r="B16" i="7"/>
  <c r="I16" i="7" s="1"/>
  <c r="D15" i="7"/>
  <c r="C15" i="7"/>
  <c r="B15" i="7"/>
  <c r="D14" i="7"/>
  <c r="C14" i="7"/>
  <c r="B14" i="7"/>
  <c r="D13" i="7"/>
  <c r="C13" i="7"/>
  <c r="D12" i="7"/>
  <c r="C12" i="7"/>
  <c r="B12" i="7"/>
  <c r="D11" i="7"/>
  <c r="C11" i="7"/>
  <c r="B11" i="7"/>
  <c r="D10" i="7"/>
  <c r="C10" i="7"/>
  <c r="B10" i="7"/>
  <c r="D9" i="7"/>
  <c r="M9" i="7" s="1"/>
  <c r="C9" i="7"/>
  <c r="K9" i="7" s="1"/>
  <c r="B9" i="7"/>
  <c r="I9" i="7" s="1"/>
  <c r="A63" i="7"/>
  <c r="A62" i="7"/>
  <c r="A61" i="7"/>
  <c r="A60" i="7"/>
  <c r="A59" i="7"/>
  <c r="A58" i="7"/>
  <c r="A57" i="7"/>
  <c r="A56" i="7"/>
  <c r="A52" i="7"/>
  <c r="A51" i="7"/>
  <c r="A50" i="7"/>
  <c r="A49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27" i="7"/>
  <c r="A26" i="7"/>
  <c r="A25" i="7"/>
  <c r="A24" i="7"/>
  <c r="A23" i="7"/>
  <c r="A20" i="7"/>
  <c r="A19" i="7"/>
  <c r="A18" i="7"/>
  <c r="A17" i="7"/>
  <c r="A16" i="7"/>
  <c r="A15" i="7"/>
  <c r="A14" i="7"/>
  <c r="A13" i="7"/>
  <c r="A12" i="7"/>
  <c r="A11" i="7"/>
  <c r="A10" i="7"/>
  <c r="A9" i="7"/>
  <c r="E16" i="5"/>
  <c r="F16" i="5" s="1"/>
  <c r="E18" i="5"/>
  <c r="F18" i="5" s="1"/>
  <c r="E19" i="5"/>
  <c r="F19" i="5" s="1"/>
  <c r="E25" i="5"/>
  <c r="F25" i="5" s="1"/>
  <c r="E27" i="5"/>
  <c r="F27" i="5" s="1"/>
  <c r="E28" i="5"/>
  <c r="F28" i="5" s="1"/>
  <c r="E29" i="5"/>
  <c r="F29" i="5" s="1"/>
  <c r="E30" i="5"/>
  <c r="F30" i="5" s="1"/>
  <c r="E35" i="5"/>
  <c r="F35" i="5" s="1"/>
  <c r="E36" i="5"/>
  <c r="F36" i="5" s="1"/>
  <c r="E42" i="5"/>
  <c r="F42" i="5" s="1"/>
  <c r="E43" i="5"/>
  <c r="F43" i="5" s="1"/>
  <c r="E45" i="5"/>
  <c r="F45" i="5" s="1"/>
  <c r="E51" i="5"/>
  <c r="F51" i="5" s="1"/>
  <c r="E52" i="5"/>
  <c r="F52" i="5" s="1"/>
  <c r="E61" i="5"/>
  <c r="F61" i="5" s="1"/>
  <c r="E63" i="5"/>
  <c r="F63" i="5" s="1"/>
  <c r="B25" i="5"/>
  <c r="C25" i="5" s="1"/>
  <c r="B27" i="5"/>
  <c r="C27" i="5" s="1"/>
  <c r="B28" i="5"/>
  <c r="C28" i="5" s="1"/>
  <c r="B29" i="5"/>
  <c r="C29" i="5" s="1"/>
  <c r="B30" i="5"/>
  <c r="C30" i="5" s="1"/>
  <c r="B35" i="5"/>
  <c r="C35" i="5" s="1"/>
  <c r="B36" i="5"/>
  <c r="C36" i="5" s="1"/>
  <c r="B37" i="5"/>
  <c r="C37" i="5" s="1"/>
  <c r="B41" i="5"/>
  <c r="C41" i="5" s="1"/>
  <c r="B42" i="5"/>
  <c r="C42" i="5" s="1"/>
  <c r="B43" i="5"/>
  <c r="C43" i="5" s="1"/>
  <c r="B45" i="5"/>
  <c r="C45" i="5" s="1"/>
  <c r="B51" i="5"/>
  <c r="C51" i="5" s="1"/>
  <c r="B52" i="5"/>
  <c r="C52" i="5" s="1"/>
  <c r="B61" i="5"/>
  <c r="C61" i="5" s="1"/>
  <c r="B63" i="5"/>
  <c r="C63" i="5" s="1"/>
  <c r="B10" i="5"/>
  <c r="C10" i="5" s="1"/>
  <c r="B16" i="5"/>
  <c r="C16" i="5" s="1"/>
  <c r="B18" i="5"/>
  <c r="C18" i="5" s="1"/>
  <c r="B19" i="5"/>
  <c r="C19" i="5" s="1"/>
  <c r="B23" i="5"/>
  <c r="C23" i="5" s="1"/>
  <c r="A60" i="5"/>
  <c r="A59" i="5"/>
  <c r="A58" i="5"/>
  <c r="A57" i="5"/>
  <c r="A56" i="5"/>
  <c r="A55" i="5"/>
  <c r="A54" i="5"/>
  <c r="A53" i="5"/>
  <c r="A48" i="5"/>
  <c r="A47" i="5"/>
  <c r="A46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24" i="5"/>
  <c r="A23" i="5"/>
  <c r="A22" i="5"/>
  <c r="A21" i="5"/>
  <c r="A20" i="5"/>
  <c r="A16" i="5"/>
  <c r="A15" i="5"/>
  <c r="A14" i="5"/>
  <c r="A13" i="5"/>
  <c r="A12" i="5"/>
  <c r="A11" i="5"/>
  <c r="A10" i="5"/>
  <c r="A9" i="5"/>
  <c r="A8" i="5"/>
  <c r="A7" i="5"/>
  <c r="A6" i="5"/>
  <c r="O21" i="18" l="1"/>
  <c r="O25" i="18" s="1"/>
  <c r="O27" i="18" s="1"/>
  <c r="O57" i="18" s="1"/>
  <c r="N25" i="18"/>
  <c r="N27" i="18" s="1"/>
  <c r="N57" i="18" s="1"/>
  <c r="M48" i="18"/>
  <c r="L50" i="18"/>
  <c r="L52" i="18" s="1"/>
  <c r="L55" i="18" s="1"/>
  <c r="M10" i="7"/>
  <c r="M13" i="7"/>
  <c r="M17" i="7"/>
  <c r="K47" i="7"/>
  <c r="K52" i="7"/>
  <c r="D10" i="20"/>
  <c r="E10" i="20" s="1"/>
  <c r="J24" i="7"/>
  <c r="N34" i="19"/>
  <c r="M37" i="19"/>
  <c r="M39" i="19" s="1"/>
  <c r="M51" i="19" s="1"/>
  <c r="J60" i="19"/>
  <c r="J62" i="19" s="1"/>
  <c r="C11" i="20" s="1"/>
  <c r="D11" i="20" s="1"/>
  <c r="E11" i="20" s="1"/>
  <c r="G30" i="9"/>
  <c r="K30" i="9"/>
  <c r="E30" i="9"/>
  <c r="F30" i="9"/>
  <c r="H30" i="9"/>
  <c r="E55" i="9"/>
  <c r="H55" i="9"/>
  <c r="K55" i="9"/>
  <c r="F55" i="9"/>
  <c r="G55" i="9"/>
  <c r="G58" i="7"/>
  <c r="K32" i="9"/>
  <c r="F32" i="9"/>
  <c r="G32" i="9"/>
  <c r="E32" i="9"/>
  <c r="H32" i="9"/>
  <c r="F43" i="9"/>
  <c r="H43" i="9"/>
  <c r="G43" i="9"/>
  <c r="K43" i="9"/>
  <c r="K34" i="9"/>
  <c r="H34" i="9"/>
  <c r="F34" i="9"/>
  <c r="E34" i="9"/>
  <c r="G34" i="9"/>
  <c r="F46" i="9"/>
  <c r="H46" i="9"/>
  <c r="E46" i="9"/>
  <c r="G46" i="9"/>
  <c r="K46" i="9"/>
  <c r="K42" i="9"/>
  <c r="F42" i="9"/>
  <c r="G42" i="9"/>
  <c r="H42" i="9"/>
  <c r="K15" i="7"/>
  <c r="K10" i="7"/>
  <c r="M11" i="7"/>
  <c r="M14" i="7"/>
  <c r="M18" i="7"/>
  <c r="K34" i="7"/>
  <c r="K41" i="7"/>
  <c r="K44" i="7"/>
  <c r="K49" i="7"/>
  <c r="K53" i="7"/>
  <c r="H29" i="9"/>
  <c r="M29" i="9"/>
  <c r="L29" i="9" s="1"/>
  <c r="H41" i="9"/>
  <c r="G41" i="9"/>
  <c r="M41" i="9"/>
  <c r="L41" i="9" s="1"/>
  <c r="G53" i="9"/>
  <c r="H53" i="9"/>
  <c r="K53" i="9"/>
  <c r="E53" i="9"/>
  <c r="F53" i="9"/>
  <c r="M20" i="7"/>
  <c r="M26" i="7"/>
  <c r="K59" i="7"/>
  <c r="K63" i="7"/>
  <c r="M25" i="7"/>
  <c r="K58" i="7"/>
  <c r="K62" i="7"/>
  <c r="K23" i="7"/>
  <c r="I35" i="7"/>
  <c r="I42" i="7"/>
  <c r="I50" i="7"/>
  <c r="I56" i="7"/>
  <c r="I60" i="7"/>
  <c r="E61" i="7"/>
  <c r="H62" i="7"/>
  <c r="I65" i="7"/>
  <c r="E67" i="7"/>
  <c r="I10" i="7"/>
  <c r="G11" i="7"/>
  <c r="M12" i="7"/>
  <c r="K14" i="7"/>
  <c r="M15" i="7"/>
  <c r="I17" i="7"/>
  <c r="K18" i="7"/>
  <c r="K20" i="7"/>
  <c r="G23" i="7"/>
  <c r="I25" i="7"/>
  <c r="K26" i="7"/>
  <c r="J26" i="7" s="1"/>
  <c r="M27" i="7"/>
  <c r="I34" i="7"/>
  <c r="J34" i="7" s="1"/>
  <c r="G35" i="7"/>
  <c r="I41" i="7"/>
  <c r="K42" i="7"/>
  <c r="I49" i="7"/>
  <c r="K50" i="7"/>
  <c r="J50" i="7" s="1"/>
  <c r="I53" i="7"/>
  <c r="K56" i="7"/>
  <c r="I59" i="7"/>
  <c r="K60" i="7"/>
  <c r="I63" i="7"/>
  <c r="K65" i="7"/>
  <c r="K46" i="7"/>
  <c r="L46" i="7" s="1"/>
  <c r="K13" i="7"/>
  <c r="L13" i="7" s="1"/>
  <c r="K17" i="7"/>
  <c r="L17" i="7" s="1"/>
  <c r="K25" i="7"/>
  <c r="J25" i="7" s="1"/>
  <c r="I15" i="7"/>
  <c r="I37" i="7"/>
  <c r="I47" i="7"/>
  <c r="J47" i="7" s="1"/>
  <c r="I52" i="7"/>
  <c r="I58" i="7"/>
  <c r="J58" i="7" s="1"/>
  <c r="I62" i="7"/>
  <c r="J62" i="7" s="1"/>
  <c r="M56" i="7"/>
  <c r="M60" i="7"/>
  <c r="M65" i="7"/>
  <c r="I27" i="7"/>
  <c r="E29" i="7"/>
  <c r="M34" i="7"/>
  <c r="M41" i="7"/>
  <c r="M44" i="7"/>
  <c r="M49" i="7"/>
  <c r="H53" i="7"/>
  <c r="H59" i="7"/>
  <c r="M63" i="7"/>
  <c r="F52" i="7"/>
  <c r="M19" i="7"/>
  <c r="M42" i="7"/>
  <c r="M50" i="7"/>
  <c r="J16" i="7"/>
  <c r="I23" i="7"/>
  <c r="I11" i="7"/>
  <c r="F12" i="7"/>
  <c r="F15" i="7"/>
  <c r="I18" i="7"/>
  <c r="I26" i="7"/>
  <c r="K27" i="7"/>
  <c r="J27" i="7" s="1"/>
  <c r="M37" i="7"/>
  <c r="M40" i="7"/>
  <c r="E43" i="7"/>
  <c r="G47" i="7"/>
  <c r="F51" i="7"/>
  <c r="H52" i="7"/>
  <c r="F57" i="7"/>
  <c r="H58" i="7"/>
  <c r="H24" i="7"/>
  <c r="K19" i="7"/>
  <c r="K38" i="7"/>
  <c r="L38" i="7" s="1"/>
  <c r="K61" i="7"/>
  <c r="L61" i="7" s="1"/>
  <c r="J57" i="7"/>
  <c r="M52" i="7"/>
  <c r="L52" i="7" s="1"/>
  <c r="E51" i="7"/>
  <c r="G41" i="7"/>
  <c r="F27" i="7"/>
  <c r="F23" i="7"/>
  <c r="H16" i="7"/>
  <c r="K35" i="7"/>
  <c r="K39" i="7"/>
  <c r="K43" i="7"/>
  <c r="J43" i="7" s="1"/>
  <c r="M53" i="7"/>
  <c r="M59" i="7"/>
  <c r="L59" i="7" s="1"/>
  <c r="K11" i="7"/>
  <c r="L11" i="7" s="1"/>
  <c r="M39" i="7"/>
  <c r="M47" i="7"/>
  <c r="M62" i="7"/>
  <c r="L62" i="7" s="1"/>
  <c r="E37" i="7"/>
  <c r="E58" i="7"/>
  <c r="F61" i="7"/>
  <c r="E57" i="7"/>
  <c r="E27" i="7"/>
  <c r="K40" i="7"/>
  <c r="M23" i="7"/>
  <c r="M45" i="7"/>
  <c r="M35" i="7"/>
  <c r="M58" i="7"/>
  <c r="K12" i="7"/>
  <c r="K29" i="7"/>
  <c r="L29" i="7" s="1"/>
  <c r="K37" i="7"/>
  <c r="K45" i="7"/>
  <c r="G12" i="7"/>
  <c r="H12" i="7"/>
  <c r="H15" i="7"/>
  <c r="F18" i="7"/>
  <c r="G36" i="7"/>
  <c r="H38" i="7"/>
  <c r="E42" i="7"/>
  <c r="F42" i="7"/>
  <c r="H46" i="7"/>
  <c r="E50" i="7"/>
  <c r="L50" i="7"/>
  <c r="F50" i="7"/>
  <c r="G51" i="7"/>
  <c r="H51" i="7"/>
  <c r="E56" i="7"/>
  <c r="G57" i="7"/>
  <c r="L57" i="7"/>
  <c r="H57" i="7"/>
  <c r="E60" i="7"/>
  <c r="G61" i="7"/>
  <c r="H61" i="7"/>
  <c r="E65" i="7"/>
  <c r="F65" i="7"/>
  <c r="E34" i="7"/>
  <c r="F41" i="7"/>
  <c r="G56" i="7"/>
  <c r="H42" i="7"/>
  <c r="E18" i="7"/>
  <c r="G15" i="7"/>
  <c r="F34" i="7"/>
  <c r="E11" i="7"/>
  <c r="F11" i="7"/>
  <c r="F14" i="7"/>
  <c r="F20" i="7"/>
  <c r="H23" i="7"/>
  <c r="E26" i="7"/>
  <c r="F26" i="7"/>
  <c r="G27" i="7"/>
  <c r="H27" i="7"/>
  <c r="E35" i="7"/>
  <c r="F35" i="7"/>
  <c r="G43" i="7"/>
  <c r="H43" i="7"/>
  <c r="G67" i="7"/>
  <c r="H36" i="7"/>
  <c r="E20" i="7"/>
  <c r="E63" i="7"/>
  <c r="H67" i="7"/>
  <c r="F60" i="7"/>
  <c r="J63" i="7"/>
  <c r="F56" i="7"/>
  <c r="E14" i="7"/>
  <c r="E10" i="7"/>
  <c r="F10" i="7"/>
  <c r="G14" i="7"/>
  <c r="E17" i="7"/>
  <c r="E25" i="7"/>
  <c r="I13" i="7"/>
  <c r="I29" i="7"/>
  <c r="E49" i="7"/>
  <c r="F59" i="7"/>
  <c r="H65" i="7"/>
  <c r="G63" i="7"/>
  <c r="G59" i="7"/>
  <c r="G49" i="7"/>
  <c r="I14" i="7"/>
  <c r="G10" i="7"/>
  <c r="I12" i="7"/>
  <c r="H13" i="7"/>
  <c r="F16" i="7"/>
  <c r="H17" i="7"/>
  <c r="F24" i="7"/>
  <c r="H25" i="7"/>
  <c r="G34" i="7"/>
  <c r="H34" i="7"/>
  <c r="H41" i="7"/>
  <c r="H44" i="7"/>
  <c r="E47" i="7"/>
  <c r="F47" i="7"/>
  <c r="H49" i="7"/>
  <c r="E52" i="7"/>
  <c r="G53" i="7"/>
  <c r="F62" i="7"/>
  <c r="H63" i="7"/>
  <c r="I39" i="7"/>
  <c r="I67" i="7"/>
  <c r="J67" i="7" s="1"/>
  <c r="I40" i="7"/>
  <c r="I44" i="7"/>
  <c r="F67" i="7"/>
  <c r="F63" i="7"/>
  <c r="G62" i="7"/>
  <c r="E59" i="7"/>
  <c r="F58" i="7"/>
  <c r="H56" i="7"/>
  <c r="J51" i="7"/>
  <c r="G50" i="7"/>
  <c r="F49" i="7"/>
  <c r="H47" i="7"/>
  <c r="G44" i="7"/>
  <c r="F43" i="7"/>
  <c r="F37" i="7"/>
  <c r="F29" i="7"/>
  <c r="H26" i="7"/>
  <c r="G25" i="7"/>
  <c r="E24" i="7"/>
  <c r="G17" i="7"/>
  <c r="E16" i="7"/>
  <c r="G13" i="7"/>
  <c r="E12" i="7"/>
  <c r="I19" i="7"/>
  <c r="I46" i="7"/>
  <c r="I38" i="7"/>
  <c r="H11" i="7"/>
  <c r="G18" i="7"/>
  <c r="G20" i="7"/>
  <c r="H35" i="7"/>
  <c r="E41" i="7"/>
  <c r="F53" i="7"/>
  <c r="G60" i="7"/>
  <c r="G65" i="7"/>
  <c r="E53" i="7"/>
  <c r="H50" i="7"/>
  <c r="G42" i="7"/>
  <c r="E15" i="7"/>
  <c r="L16" i="7"/>
  <c r="G16" i="7"/>
  <c r="I20" i="7"/>
  <c r="E23" i="7"/>
  <c r="L24" i="7"/>
  <c r="G24" i="7"/>
  <c r="G29" i="7"/>
  <c r="H29" i="7"/>
  <c r="E36" i="7"/>
  <c r="F36" i="7"/>
  <c r="G37" i="7"/>
  <c r="H37" i="7"/>
  <c r="G40" i="7"/>
  <c r="E62" i="7"/>
  <c r="H60" i="7"/>
  <c r="G52" i="7"/>
  <c r="F44" i="7"/>
  <c r="H40" i="7"/>
  <c r="G26" i="7"/>
  <c r="F25" i="7"/>
  <c r="H20" i="7"/>
  <c r="H18" i="7"/>
  <c r="F17" i="7"/>
  <c r="H14" i="7"/>
  <c r="F13" i="7"/>
  <c r="H10" i="7"/>
  <c r="I45" i="7"/>
  <c r="J36" i="7"/>
  <c r="L43" i="7" l="1"/>
  <c r="J41" i="7"/>
  <c r="M50" i="18"/>
  <c r="M52" i="18" s="1"/>
  <c r="M55" i="18" s="1"/>
  <c r="N48" i="18"/>
  <c r="J56" i="7"/>
  <c r="J61" i="7"/>
  <c r="J44" i="7"/>
  <c r="L39" i="7"/>
  <c r="J18" i="7"/>
  <c r="J65" i="7"/>
  <c r="L63" i="7"/>
  <c r="L44" i="7"/>
  <c r="O34" i="19"/>
  <c r="O37" i="19" s="1"/>
  <c r="O39" i="19" s="1"/>
  <c r="O51" i="19" s="1"/>
  <c r="N37" i="19"/>
  <c r="N39" i="19" s="1"/>
  <c r="N51" i="19" s="1"/>
  <c r="K60" i="19"/>
  <c r="K62" i="19" s="1"/>
  <c r="C12" i="20" s="1"/>
  <c r="D12" i="20" s="1"/>
  <c r="E12" i="20" s="1"/>
  <c r="L49" i="7"/>
  <c r="J39" i="7"/>
  <c r="L23" i="7"/>
  <c r="J11" i="7"/>
  <c r="L42" i="7"/>
  <c r="L65" i="7"/>
  <c r="J15" i="7"/>
  <c r="J59" i="7"/>
  <c r="J49" i="7"/>
  <c r="L58" i="7"/>
  <c r="L20" i="7"/>
  <c r="L37" i="7"/>
  <c r="L14" i="7"/>
  <c r="L12" i="7"/>
  <c r="L26" i="7"/>
  <c r="J53" i="7"/>
  <c r="L34" i="7"/>
  <c r="J10" i="7"/>
  <c r="J60" i="7"/>
  <c r="L55" i="9"/>
  <c r="J55" i="9"/>
  <c r="J42" i="9"/>
  <c r="L42" i="9"/>
  <c r="J19" i="7"/>
  <c r="J14" i="7"/>
  <c r="J46" i="9"/>
  <c r="L46" i="9"/>
  <c r="J30" i="9"/>
  <c r="L30" i="9"/>
  <c r="L53" i="9"/>
  <c r="J53" i="9"/>
  <c r="L43" i="9"/>
  <c r="J43" i="9"/>
  <c r="J32" i="9"/>
  <c r="L32" i="9"/>
  <c r="J45" i="7"/>
  <c r="L45" i="7"/>
  <c r="J35" i="7"/>
  <c r="J34" i="9"/>
  <c r="L34" i="9"/>
  <c r="J37" i="7"/>
  <c r="J17" i="7"/>
  <c r="J38" i="7"/>
  <c r="J42" i="7"/>
  <c r="J46" i="7"/>
  <c r="J13" i="7"/>
  <c r="J29" i="7"/>
  <c r="L27" i="7"/>
  <c r="L19" i="7"/>
  <c r="J12" i="7"/>
  <c r="L35" i="7"/>
  <c r="J52" i="7"/>
  <c r="L40" i="7"/>
  <c r="J40" i="7"/>
  <c r="L36" i="7"/>
  <c r="L41" i="7"/>
  <c r="L53" i="7"/>
  <c r="L10" i="7"/>
  <c r="L51" i="7"/>
  <c r="L47" i="7"/>
  <c r="J23" i="7"/>
  <c r="L18" i="7"/>
  <c r="L25" i="7"/>
  <c r="L67" i="7"/>
  <c r="J20" i="7"/>
  <c r="L60" i="7"/>
  <c r="L56" i="7"/>
  <c r="L15" i="7"/>
  <c r="O48" i="18" l="1"/>
  <c r="O50" i="18" s="1"/>
  <c r="O52" i="18" s="1"/>
  <c r="O55" i="18" s="1"/>
  <c r="N50" i="18"/>
  <c r="N52" i="18" s="1"/>
  <c r="N55" i="18" s="1"/>
  <c r="L60" i="19"/>
  <c r="L62" i="19" s="1"/>
  <c r="C13" i="20" s="1"/>
  <c r="D13" i="20" s="1"/>
  <c r="E13" i="20" s="1"/>
  <c r="F43" i="1"/>
  <c r="H43" i="5" s="1"/>
  <c r="I43" i="5" s="1"/>
  <c r="A43" i="1"/>
  <c r="F16" i="1"/>
  <c r="H16" i="5" s="1"/>
  <c r="I16" i="5" s="1"/>
  <c r="A16" i="1"/>
  <c r="M60" i="19" l="1"/>
  <c r="M62" i="19" s="1"/>
  <c r="C14" i="20" s="1"/>
  <c r="D14" i="20" s="1"/>
  <c r="E14" i="20" s="1"/>
  <c r="B18" i="2"/>
  <c r="E54" i="2"/>
  <c r="E52" i="2"/>
  <c r="A50" i="2"/>
  <c r="E45" i="2"/>
  <c r="E42" i="2"/>
  <c r="E41" i="2"/>
  <c r="A42" i="2"/>
  <c r="A41" i="2"/>
  <c r="E33" i="2"/>
  <c r="E31" i="2"/>
  <c r="E29" i="2"/>
  <c r="A44" i="2"/>
  <c r="F40" i="2"/>
  <c r="A38" i="2"/>
  <c r="A37" i="2"/>
  <c r="F28" i="2"/>
  <c r="N60" i="19" l="1"/>
  <c r="N62" i="19" s="1"/>
  <c r="C15" i="20" s="1"/>
  <c r="D15" i="20" s="1"/>
  <c r="E15" i="20" s="1"/>
  <c r="O60" i="19"/>
  <c r="O62" i="19" s="1"/>
  <c r="C16" i="20" s="1"/>
  <c r="E35" i="15"/>
  <c r="E34" i="15"/>
  <c r="D45" i="15" s="1"/>
  <c r="E43" i="15"/>
  <c r="E44" i="15" s="1"/>
  <c r="E36" i="15"/>
  <c r="E45" i="15"/>
  <c r="D16" i="20" l="1"/>
  <c r="E16" i="20" s="1"/>
  <c r="E4" i="20" s="1"/>
  <c r="C18" i="20"/>
  <c r="D18" i="20" s="1"/>
  <c r="F45" i="15"/>
  <c r="F65" i="1" l="1"/>
  <c r="F63" i="1"/>
  <c r="F61" i="1"/>
  <c r="F60" i="1"/>
  <c r="F59" i="1"/>
  <c r="F58" i="1"/>
  <c r="F57" i="1"/>
  <c r="F56" i="1"/>
  <c r="F55" i="1"/>
  <c r="F54" i="1"/>
  <c r="F51" i="1"/>
  <c r="F49" i="1"/>
  <c r="F48" i="1"/>
  <c r="F47" i="1"/>
  <c r="F46" i="1"/>
  <c r="F44" i="1"/>
  <c r="F36" i="1"/>
  <c r="H36" i="5" s="1"/>
  <c r="I36" i="5" s="1"/>
  <c r="F35" i="1"/>
  <c r="H35" i="5" s="1"/>
  <c r="I35" i="5" s="1"/>
  <c r="A36" i="1"/>
  <c r="A35" i="1"/>
  <c r="F42" i="1"/>
  <c r="H42" i="5" s="1"/>
  <c r="I42" i="5" s="1"/>
  <c r="A42" i="1"/>
  <c r="F41" i="1"/>
  <c r="F40" i="1"/>
  <c r="F39" i="1"/>
  <c r="F38" i="1"/>
  <c r="F37" i="1"/>
  <c r="F34" i="1"/>
  <c r="F33" i="1"/>
  <c r="F32" i="1"/>
  <c r="F31" i="1"/>
  <c r="F26" i="1"/>
  <c r="F24" i="1"/>
  <c r="F23" i="1"/>
  <c r="F22" i="1"/>
  <c r="F21" i="1"/>
  <c r="F20" i="1"/>
  <c r="F17" i="1"/>
  <c r="F15" i="1"/>
  <c r="F14" i="1"/>
  <c r="F13" i="1"/>
  <c r="F12" i="1"/>
  <c r="F11" i="1"/>
  <c r="F10" i="1"/>
  <c r="F9" i="1"/>
  <c r="F8" i="1"/>
  <c r="F7" i="1"/>
  <c r="F6" i="1"/>
  <c r="F9" i="15" l="1"/>
  <c r="F11" i="15" s="1"/>
  <c r="F40" i="15"/>
  <c r="I20" i="1"/>
  <c r="F32" i="15"/>
  <c r="I22" i="1"/>
  <c r="F41" i="15"/>
  <c r="F33" i="15"/>
  <c r="F6" i="15"/>
  <c r="F5" i="15"/>
  <c r="I21" i="1"/>
  <c r="E65" i="1"/>
  <c r="E63" i="1"/>
  <c r="H63" i="5" s="1"/>
  <c r="I63" i="5" s="1"/>
  <c r="E61" i="1"/>
  <c r="H61" i="5" s="1"/>
  <c r="I61" i="5" s="1"/>
  <c r="E60" i="1"/>
  <c r="H60" i="5" s="1"/>
  <c r="I60" i="5" s="1"/>
  <c r="E59" i="1"/>
  <c r="H59" i="5" s="1"/>
  <c r="I59" i="5" s="1"/>
  <c r="E58" i="1"/>
  <c r="H58" i="5" s="1"/>
  <c r="I58" i="5" s="1"/>
  <c r="E57" i="1"/>
  <c r="H57" i="5" s="1"/>
  <c r="I57" i="5" s="1"/>
  <c r="E56" i="1"/>
  <c r="H56" i="5" s="1"/>
  <c r="I56" i="5" s="1"/>
  <c r="E55" i="1"/>
  <c r="H55" i="5" s="1"/>
  <c r="I55" i="5" s="1"/>
  <c r="E54" i="1"/>
  <c r="H54" i="5" s="1"/>
  <c r="I54" i="5" s="1"/>
  <c r="E51" i="1"/>
  <c r="H51" i="5" s="1"/>
  <c r="I51" i="5" s="1"/>
  <c r="E49" i="1"/>
  <c r="H49" i="5" s="1"/>
  <c r="I49" i="5" s="1"/>
  <c r="E48" i="1"/>
  <c r="H48" i="5" s="1"/>
  <c r="I48" i="5" s="1"/>
  <c r="E47" i="1"/>
  <c r="E46" i="1"/>
  <c r="H46" i="5" s="1"/>
  <c r="I46" i="5" s="1"/>
  <c r="E44" i="1"/>
  <c r="H44" i="5" s="1"/>
  <c r="I44" i="5" s="1"/>
  <c r="E41" i="1"/>
  <c r="E41" i="5" s="1"/>
  <c r="F41" i="5" s="1"/>
  <c r="A41" i="1"/>
  <c r="D44" i="1"/>
  <c r="C44" i="1"/>
  <c r="B44" i="1"/>
  <c r="A44" i="1"/>
  <c r="E40" i="1"/>
  <c r="H40" i="5" s="1"/>
  <c r="I40" i="5" s="1"/>
  <c r="E39" i="1"/>
  <c r="H39" i="5" s="1"/>
  <c r="I39" i="5" s="1"/>
  <c r="E38" i="1"/>
  <c r="H38" i="5" s="1"/>
  <c r="I38" i="5" s="1"/>
  <c r="E37" i="1"/>
  <c r="E37" i="5" s="1"/>
  <c r="F37" i="5" s="1"/>
  <c r="A37" i="1"/>
  <c r="E34" i="1"/>
  <c r="H34" i="5" s="1"/>
  <c r="I34" i="5" s="1"/>
  <c r="E33" i="1"/>
  <c r="H33" i="5" s="1"/>
  <c r="I33" i="5" s="1"/>
  <c r="E32" i="1"/>
  <c r="H32" i="5" s="1"/>
  <c r="I32" i="5" s="1"/>
  <c r="E31" i="1"/>
  <c r="H31" i="5" s="1"/>
  <c r="I31" i="5" s="1"/>
  <c r="D65" i="1"/>
  <c r="D63" i="1"/>
  <c r="D61" i="1"/>
  <c r="D60" i="1"/>
  <c r="D59" i="1"/>
  <c r="D58" i="1"/>
  <c r="D57" i="1"/>
  <c r="D56" i="1"/>
  <c r="D55" i="1"/>
  <c r="D54" i="1"/>
  <c r="D51" i="1"/>
  <c r="D49" i="1"/>
  <c r="D48" i="1"/>
  <c r="D47" i="1"/>
  <c r="D46" i="1"/>
  <c r="D40" i="1"/>
  <c r="D39" i="1"/>
  <c r="D38" i="1"/>
  <c r="D34" i="1"/>
  <c r="D33" i="1"/>
  <c r="D32" i="1"/>
  <c r="D31" i="1"/>
  <c r="E26" i="1"/>
  <c r="E32" i="15" s="1"/>
  <c r="E24" i="1"/>
  <c r="H24" i="5" s="1"/>
  <c r="I24" i="5" s="1"/>
  <c r="E23" i="1"/>
  <c r="H23" i="5" s="1"/>
  <c r="I23" i="5" s="1"/>
  <c r="E22" i="1"/>
  <c r="H22" i="5" s="1"/>
  <c r="I22" i="5" s="1"/>
  <c r="E21" i="1"/>
  <c r="E20" i="1"/>
  <c r="H20" i="5" s="1"/>
  <c r="I20" i="5" s="1"/>
  <c r="E17" i="1"/>
  <c r="H17" i="5" s="1"/>
  <c r="I17" i="5" s="1"/>
  <c r="E15" i="1"/>
  <c r="H15" i="5" s="1"/>
  <c r="I15" i="5" s="1"/>
  <c r="E14" i="1"/>
  <c r="H14" i="5" s="1"/>
  <c r="I14" i="5" s="1"/>
  <c r="E13" i="1"/>
  <c r="H13" i="5" s="1"/>
  <c r="I13" i="5" s="1"/>
  <c r="E12" i="1"/>
  <c r="H12" i="5" s="1"/>
  <c r="I12" i="5" s="1"/>
  <c r="E10" i="1"/>
  <c r="E10" i="5" s="1"/>
  <c r="F10" i="5" s="1"/>
  <c r="A10" i="1"/>
  <c r="E11" i="1"/>
  <c r="H11" i="5" s="1"/>
  <c r="I11" i="5" s="1"/>
  <c r="E9" i="1"/>
  <c r="H9" i="5" s="1"/>
  <c r="I9" i="5" s="1"/>
  <c r="E8" i="1"/>
  <c r="H8" i="5" s="1"/>
  <c r="I8" i="5" s="1"/>
  <c r="E7" i="1"/>
  <c r="H7" i="5" s="1"/>
  <c r="I7" i="5" s="1"/>
  <c r="E6" i="1"/>
  <c r="H6" i="5" s="1"/>
  <c r="I6" i="5" s="1"/>
  <c r="D26" i="1"/>
  <c r="D32" i="15" s="1"/>
  <c r="D24" i="1"/>
  <c r="D23" i="1"/>
  <c r="A23" i="1"/>
  <c r="D22" i="1"/>
  <c r="D21" i="1"/>
  <c r="D20" i="1"/>
  <c r="D17" i="1"/>
  <c r="D15" i="1"/>
  <c r="D14" i="1"/>
  <c r="D13" i="1"/>
  <c r="D12" i="1"/>
  <c r="D11" i="1"/>
  <c r="D9" i="1"/>
  <c r="D8" i="1"/>
  <c r="D7" i="1"/>
  <c r="D6" i="1"/>
  <c r="C65" i="1"/>
  <c r="C63" i="1"/>
  <c r="C61" i="1"/>
  <c r="C60" i="1"/>
  <c r="C59" i="1"/>
  <c r="C58" i="1"/>
  <c r="B57" i="1"/>
  <c r="C57" i="1"/>
  <c r="A57" i="1"/>
  <c r="C56" i="1"/>
  <c r="C55" i="1"/>
  <c r="C54" i="1"/>
  <c r="C51" i="1"/>
  <c r="B49" i="1"/>
  <c r="C49" i="1"/>
  <c r="C48" i="1"/>
  <c r="B48" i="5" s="1"/>
  <c r="C48" i="5" s="1"/>
  <c r="A48" i="1"/>
  <c r="C47" i="1"/>
  <c r="C46" i="1"/>
  <c r="C40" i="1"/>
  <c r="C39" i="1"/>
  <c r="C38" i="1"/>
  <c r="C34" i="1"/>
  <c r="A33" i="1"/>
  <c r="C33" i="1"/>
  <c r="B33" i="5" s="1"/>
  <c r="C33" i="5" s="1"/>
  <c r="C26" i="1"/>
  <c r="C32" i="15" s="1"/>
  <c r="E21" i="5" l="1"/>
  <c r="F21" i="5" s="1"/>
  <c r="M18" i="5"/>
  <c r="O17" i="5"/>
  <c r="H41" i="5"/>
  <c r="I41" i="5" s="1"/>
  <c r="H37" i="5"/>
  <c r="I37" i="5" s="1"/>
  <c r="E47" i="5"/>
  <c r="F47" i="5" s="1"/>
  <c r="E53" i="5"/>
  <c r="F53" i="5" s="1"/>
  <c r="E57" i="5"/>
  <c r="F57" i="5" s="1"/>
  <c r="H47" i="5"/>
  <c r="I47" i="5" s="1"/>
  <c r="H26" i="5"/>
  <c r="I26" i="5" s="1"/>
  <c r="H10" i="5"/>
  <c r="I10" i="5" s="1"/>
  <c r="H21" i="5"/>
  <c r="I21" i="5" s="1"/>
  <c r="O18" i="5" s="1"/>
  <c r="E7" i="5"/>
  <c r="F7" i="5" s="1"/>
  <c r="D40" i="15"/>
  <c r="E32" i="5"/>
  <c r="F32" i="5" s="1"/>
  <c r="J6" i="1"/>
  <c r="E15" i="5"/>
  <c r="F15" i="5" s="1"/>
  <c r="E22" i="5"/>
  <c r="F22" i="5" s="1"/>
  <c r="E33" i="5"/>
  <c r="F33" i="5" s="1"/>
  <c r="E6" i="5"/>
  <c r="F6" i="5" s="1"/>
  <c r="E14" i="5"/>
  <c r="F14" i="5" s="1"/>
  <c r="E9" i="15"/>
  <c r="E11" i="15" s="1"/>
  <c r="K9" i="1"/>
  <c r="D9" i="15"/>
  <c r="D11" i="15" s="1"/>
  <c r="J9" i="1"/>
  <c r="E8" i="5"/>
  <c r="F8" i="5" s="1"/>
  <c r="D41" i="15"/>
  <c r="D33" i="15"/>
  <c r="E38" i="5"/>
  <c r="F38" i="5" s="1"/>
  <c r="E48" i="5"/>
  <c r="F48" i="5" s="1"/>
  <c r="E54" i="5"/>
  <c r="F54" i="5" s="1"/>
  <c r="E58" i="5"/>
  <c r="F58" i="5" s="1"/>
  <c r="C40" i="15"/>
  <c r="B56" i="5"/>
  <c r="C56" i="5" s="1"/>
  <c r="E9" i="5"/>
  <c r="F9" i="5" s="1"/>
  <c r="K6" i="1"/>
  <c r="E12" i="5"/>
  <c r="F12" i="5" s="1"/>
  <c r="E5" i="15"/>
  <c r="E6" i="15"/>
  <c r="E23" i="5"/>
  <c r="F23" i="5" s="1"/>
  <c r="E34" i="5"/>
  <c r="F34" i="5" s="1"/>
  <c r="E39" i="5"/>
  <c r="F39" i="5" s="1"/>
  <c r="E55" i="5"/>
  <c r="F55" i="5" s="1"/>
  <c r="E59" i="5"/>
  <c r="F59" i="5" s="1"/>
  <c r="C33" i="15"/>
  <c r="C41" i="15"/>
  <c r="E41" i="15"/>
  <c r="E33" i="15"/>
  <c r="D6" i="15"/>
  <c r="D5" i="15"/>
  <c r="E11" i="5"/>
  <c r="F11" i="5" s="1"/>
  <c r="E13" i="5"/>
  <c r="F13" i="5" s="1"/>
  <c r="E20" i="5"/>
  <c r="F20" i="5" s="1"/>
  <c r="E24" i="5"/>
  <c r="F24" i="5" s="1"/>
  <c r="K12" i="1"/>
  <c r="E31" i="5"/>
  <c r="F31" i="5" s="1"/>
  <c r="E40" i="5"/>
  <c r="F40" i="5" s="1"/>
  <c r="E46" i="5"/>
  <c r="F46" i="5" s="1"/>
  <c r="E40" i="15"/>
  <c r="E56" i="5"/>
  <c r="F56" i="5" s="1"/>
  <c r="E60" i="5"/>
  <c r="F60" i="5" s="1"/>
  <c r="J12" i="1"/>
  <c r="C32" i="1"/>
  <c r="C31" i="1"/>
  <c r="C24" i="1"/>
  <c r="C22" i="1"/>
  <c r="C21" i="1"/>
  <c r="C20" i="1"/>
  <c r="C17" i="1"/>
  <c r="C15" i="1"/>
  <c r="B15" i="5" s="1"/>
  <c r="C15" i="5" s="1"/>
  <c r="C14" i="1"/>
  <c r="C13" i="1"/>
  <c r="B13" i="5" s="1"/>
  <c r="C13" i="5" s="1"/>
  <c r="C12" i="1"/>
  <c r="B12" i="5" s="1"/>
  <c r="C12" i="5" s="1"/>
  <c r="A15" i="1"/>
  <c r="A14" i="1"/>
  <c r="A13" i="1"/>
  <c r="A12" i="1"/>
  <c r="C11" i="1"/>
  <c r="C9" i="1"/>
  <c r="C8" i="1"/>
  <c r="C7" i="1"/>
  <c r="C6" i="1"/>
  <c r="B65" i="1"/>
  <c r="B63" i="1"/>
  <c r="B61" i="1"/>
  <c r="B60" i="5" s="1"/>
  <c r="C60" i="5" s="1"/>
  <c r="B60" i="1"/>
  <c r="B59" i="5" s="1"/>
  <c r="C59" i="5" s="1"/>
  <c r="B59" i="1"/>
  <c r="B58" i="5" s="1"/>
  <c r="C58" i="5" s="1"/>
  <c r="B58" i="1"/>
  <c r="B57" i="5" s="1"/>
  <c r="C57" i="5" s="1"/>
  <c r="A58" i="1"/>
  <c r="B56" i="1"/>
  <c r="B55" i="5" s="1"/>
  <c r="C55" i="5" s="1"/>
  <c r="B55" i="1"/>
  <c r="B54" i="5" s="1"/>
  <c r="C54" i="5" s="1"/>
  <c r="B54" i="1"/>
  <c r="B53" i="5" s="1"/>
  <c r="C53" i="5" s="1"/>
  <c r="B51" i="1"/>
  <c r="B47" i="1"/>
  <c r="B47" i="5" s="1"/>
  <c r="C47" i="5" s="1"/>
  <c r="B46" i="1"/>
  <c r="B46" i="5" s="1"/>
  <c r="C46" i="5" s="1"/>
  <c r="B40" i="1"/>
  <c r="B40" i="5" s="1"/>
  <c r="C40" i="5" s="1"/>
  <c r="B39" i="1"/>
  <c r="B39" i="5" s="1"/>
  <c r="C39" i="5" s="1"/>
  <c r="B38" i="1"/>
  <c r="B38" i="5" s="1"/>
  <c r="C38" i="5" s="1"/>
  <c r="B34" i="1"/>
  <c r="B34" i="5" s="1"/>
  <c r="C34" i="5" s="1"/>
  <c r="B32" i="1"/>
  <c r="B31" i="1"/>
  <c r="B26" i="1"/>
  <c r="B32" i="15" s="1"/>
  <c r="B24" i="1"/>
  <c r="B22" i="1"/>
  <c r="B21" i="1"/>
  <c r="B20" i="1"/>
  <c r="B17" i="1"/>
  <c r="B11" i="1"/>
  <c r="B9" i="1"/>
  <c r="B8" i="1"/>
  <c r="B7" i="1"/>
  <c r="B6" i="1"/>
  <c r="A61" i="1"/>
  <c r="A60" i="1"/>
  <c r="A59" i="1"/>
  <c r="A56" i="1"/>
  <c r="A55" i="1"/>
  <c r="A54" i="1"/>
  <c r="A49" i="1"/>
  <c r="A47" i="1"/>
  <c r="A46" i="1"/>
  <c r="A40" i="1"/>
  <c r="A39" i="1"/>
  <c r="A38" i="1"/>
  <c r="A34" i="1"/>
  <c r="A32" i="1"/>
  <c r="A31" i="1"/>
  <c r="A24" i="1"/>
  <c r="A22" i="1"/>
  <c r="A21" i="1"/>
  <c r="A20" i="1"/>
  <c r="A17" i="1"/>
  <c r="A11" i="1"/>
  <c r="A9" i="1"/>
  <c r="A8" i="1"/>
  <c r="A7" i="1"/>
  <c r="A6" i="1"/>
  <c r="H7" i="9"/>
  <c r="G7" i="9"/>
  <c r="F7" i="9"/>
  <c r="E7" i="9"/>
  <c r="E9" i="7"/>
  <c r="F9" i="7"/>
  <c r="G9" i="7"/>
  <c r="H9" i="7"/>
  <c r="M16" i="5" l="1"/>
  <c r="M17" i="5"/>
  <c r="O16" i="5"/>
  <c r="H12" i="1"/>
  <c r="M6" i="5"/>
  <c r="O11" i="5"/>
  <c r="B7" i="5"/>
  <c r="C7" i="5" s="1"/>
  <c r="B24" i="5"/>
  <c r="C24" i="5" s="1"/>
  <c r="E31" i="15"/>
  <c r="B40" i="15"/>
  <c r="D31" i="15"/>
  <c r="C31" i="15"/>
  <c r="F31" i="15"/>
  <c r="B31" i="15"/>
  <c r="B41" i="15"/>
  <c r="B33" i="15"/>
  <c r="B8" i="5"/>
  <c r="C8" i="5" s="1"/>
  <c r="B20" i="5"/>
  <c r="C20" i="5" s="1"/>
  <c r="I12" i="1"/>
  <c r="B31" i="5"/>
  <c r="C31" i="5" s="1"/>
  <c r="M11" i="5"/>
  <c r="M10" i="5"/>
  <c r="B9" i="15"/>
  <c r="B11" i="15" s="1"/>
  <c r="H6" i="1"/>
  <c r="B6" i="15"/>
  <c r="B5" i="15"/>
  <c r="B9" i="5"/>
  <c r="C9" i="5" s="1"/>
  <c r="I6" i="1"/>
  <c r="B14" i="5"/>
  <c r="C14" i="5" s="1"/>
  <c r="C9" i="15"/>
  <c r="C11" i="15" s="1"/>
  <c r="I9" i="1"/>
  <c r="H9" i="1"/>
  <c r="B21" i="5"/>
  <c r="C21" i="5" s="1"/>
  <c r="B32" i="5"/>
  <c r="C32" i="5" s="1"/>
  <c r="O12" i="5"/>
  <c r="O10" i="5"/>
  <c r="C5" i="15"/>
  <c r="C6" i="15"/>
  <c r="O6" i="5"/>
  <c r="B6" i="5"/>
  <c r="C6" i="5" s="1"/>
  <c r="B11" i="5"/>
  <c r="C11" i="5" s="1"/>
  <c r="B22" i="5"/>
  <c r="C22" i="5" s="1"/>
  <c r="M12" i="5"/>
  <c r="J7" i="9"/>
  <c r="L7" i="9"/>
  <c r="M4" i="5" l="1"/>
  <c r="M5" i="5"/>
  <c r="O4" i="5"/>
  <c r="O5" i="5"/>
  <c r="L9" i="7" l="1"/>
  <c r="J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Resultados al 30 de septiembre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Resultados al 30 de septiembre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Resultados al 30 de septiembre</t>
        </r>
      </text>
    </comment>
    <comment ref="I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Resultados al 30 de septiembre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Resultados al 30 de septiembre</t>
        </r>
      </text>
    </comment>
  </commentList>
</comments>
</file>

<file path=xl/sharedStrings.xml><?xml version="1.0" encoding="utf-8"?>
<sst xmlns="http://schemas.openxmlformats.org/spreadsheetml/2006/main" count="421" uniqueCount="165">
  <si>
    <t>ACTIVOS</t>
  </si>
  <si>
    <t>CORRIENTE</t>
  </si>
  <si>
    <t>NO CORRIENTE</t>
  </si>
  <si>
    <t>TOTAL ACTIVOS</t>
  </si>
  <si>
    <t>PASIVOS</t>
  </si>
  <si>
    <t>TOTAL PASIVOS</t>
  </si>
  <si>
    <t>PATRIMONIO DE LOS ACCIONISTAS</t>
  </si>
  <si>
    <t>Total patrimonio de los Accionistas</t>
  </si>
  <si>
    <t>TOTAL PASIVOS Y PATRIMONIO DE LOS ACCIONISTAS</t>
  </si>
  <si>
    <t>LIQUIDEZ</t>
  </si>
  <si>
    <t>PRUEBA ACIDA</t>
  </si>
  <si>
    <t>KTNO</t>
  </si>
  <si>
    <t>TRM</t>
  </si>
  <si>
    <t>Tasa impuestos</t>
  </si>
  <si>
    <t>RE</t>
  </si>
  <si>
    <t>DEUDAS CORTO PLAZO</t>
  </si>
  <si>
    <t>DEUDAS LARGO PLAZO</t>
  </si>
  <si>
    <t>CK</t>
  </si>
  <si>
    <t>ROA</t>
  </si>
  <si>
    <t>ROE</t>
  </si>
  <si>
    <t>PUNTO DE EQUILIBRIO</t>
  </si>
  <si>
    <t>MARGEN OPERATIVO</t>
  </si>
  <si>
    <t>MARGEN NETO</t>
  </si>
  <si>
    <t xml:space="preserve">TLR </t>
  </si>
  <si>
    <t xml:space="preserve">TES banco de la republica </t>
  </si>
  <si>
    <t>(con vencimiento el 26 de agosto de 2026)</t>
  </si>
  <si>
    <t>ENDEUDAMIENTO</t>
  </si>
  <si>
    <t>EBITDA</t>
  </si>
  <si>
    <t>EVA</t>
  </si>
  <si>
    <t xml:space="preserve">MARGEN EBITDA </t>
  </si>
  <si>
    <t>AL</t>
  </si>
  <si>
    <t>FL</t>
  </si>
  <si>
    <t>FC</t>
  </si>
  <si>
    <t>AC</t>
  </si>
  <si>
    <t>DIVIDENDOS</t>
  </si>
  <si>
    <t>GIF</t>
  </si>
  <si>
    <t>ALP</t>
  </si>
  <si>
    <t>FLP</t>
  </si>
  <si>
    <t>ACP</t>
  </si>
  <si>
    <t>FCP</t>
  </si>
  <si>
    <t>TOTAL APLICACIONES</t>
  </si>
  <si>
    <t>TOTAL FUENTES</t>
  </si>
  <si>
    <t>Fuente (F) Aplicación (A)</t>
  </si>
  <si>
    <t>Valor ABS</t>
  </si>
  <si>
    <t>SOLVENCIA</t>
  </si>
  <si>
    <t>PRODUCTIVIDAD DEL KTNO</t>
  </si>
  <si>
    <t>Variación</t>
  </si>
  <si>
    <t>Analisis Horizontal</t>
  </si>
  <si>
    <t>Costo de Venta</t>
  </si>
  <si>
    <t>TOTAL PATRIMONIO</t>
  </si>
  <si>
    <t>ACTIVO</t>
  </si>
  <si>
    <t>PASIVO</t>
  </si>
  <si>
    <t>PATRIMONIO</t>
  </si>
  <si>
    <t>Año 2015</t>
  </si>
  <si>
    <t>Año 2016</t>
  </si>
  <si>
    <t>Año 2017</t>
  </si>
  <si>
    <t>Año 2018</t>
  </si>
  <si>
    <t>Año 2019</t>
  </si>
  <si>
    <t xml:space="preserve">Dow Jones </t>
  </si>
  <si>
    <t>Variación 2015-2016</t>
  </si>
  <si>
    <t>Variación 2017-2018</t>
  </si>
  <si>
    <t>Análisis 2015-2016</t>
  </si>
  <si>
    <t>Análisis 2017-2018</t>
  </si>
  <si>
    <t>2017-2018</t>
  </si>
  <si>
    <t>2018-2019</t>
  </si>
  <si>
    <t>Análisis Horizontal</t>
  </si>
  <si>
    <t>Análisis Vertical</t>
  </si>
  <si>
    <t>β1</t>
  </si>
  <si>
    <r>
      <t>β2</t>
    </r>
    <r>
      <rPr>
        <sz val="11"/>
        <color theme="1"/>
        <rFont val="Calibri"/>
        <family val="2"/>
        <scheme val="minor"/>
      </rPr>
      <t/>
    </r>
  </si>
  <si>
    <t>INGRESOS ORDINARIOS</t>
  </si>
  <si>
    <t>Venta de Cultivo de Almidon</t>
  </si>
  <si>
    <t>Venta de Semovientes</t>
  </si>
  <si>
    <t>Menos :</t>
  </si>
  <si>
    <t>De Insumos Agricolas</t>
  </si>
  <si>
    <t>Utilidad Bruta en ventas</t>
  </si>
  <si>
    <t>GASTOS ORDINARIOS</t>
  </si>
  <si>
    <t>Gastos Administrativos</t>
  </si>
  <si>
    <t>Honorarios</t>
  </si>
  <si>
    <t>Impuestos</t>
  </si>
  <si>
    <t>Arrendamientos</t>
  </si>
  <si>
    <t>Servicios</t>
  </si>
  <si>
    <t>Gastos legales</t>
  </si>
  <si>
    <t>Mantenimientos y reparaciones</t>
  </si>
  <si>
    <t>Gastos de Viaje</t>
  </si>
  <si>
    <t>Deterioro del valor del activo</t>
  </si>
  <si>
    <t>Seguros</t>
  </si>
  <si>
    <t>Diversos</t>
  </si>
  <si>
    <t>Total Gastos Ordinarios</t>
  </si>
  <si>
    <t>Utilidad Operacional</t>
  </si>
  <si>
    <t>Menos: Gastos no Operacionales</t>
  </si>
  <si>
    <t>Financieros</t>
  </si>
  <si>
    <t xml:space="preserve">Mas Otros Ingresos </t>
  </si>
  <si>
    <t>Arriendos</t>
  </si>
  <si>
    <t>Rendimientos Financieros</t>
  </si>
  <si>
    <t>Utilidad Antes de Impuestos</t>
  </si>
  <si>
    <t xml:space="preserve">Menos: </t>
  </si>
  <si>
    <t>Impuesto a las Ganancias</t>
  </si>
  <si>
    <t>De Renta  y Complementario</t>
  </si>
  <si>
    <t>De Renta para la Equidad - CREE</t>
  </si>
  <si>
    <t xml:space="preserve">Impuesto Diferido </t>
  </si>
  <si>
    <t>Utilidad del Ejercicio</t>
  </si>
  <si>
    <t>Personal</t>
  </si>
  <si>
    <t>CXC Promedio 2015-2016</t>
  </si>
  <si>
    <t>CXC Promedio 2017-2018</t>
  </si>
  <si>
    <t>Inventario promedio  2015-2016</t>
  </si>
  <si>
    <t>Inventario promedio  2017-2018</t>
  </si>
  <si>
    <t>CXP Promedio 2015-2016</t>
  </si>
  <si>
    <t>CXP Promedio 2017-2018</t>
  </si>
  <si>
    <t>CXC Promedio 2016-2017</t>
  </si>
  <si>
    <t>CXC Promedio 2018-2019</t>
  </si>
  <si>
    <t>Inventario promedio  2016-2017</t>
  </si>
  <si>
    <t>Inventario promedio  2018-2019</t>
  </si>
  <si>
    <t>CXP Promedio 2016-2017</t>
  </si>
  <si>
    <t>CXP Promedio 2018-2019</t>
  </si>
  <si>
    <t>De Semovientes</t>
  </si>
  <si>
    <t>Analisis Vertical (Márgenes)</t>
  </si>
  <si>
    <t>ANÁLISIS DE LIQUIDEZ</t>
  </si>
  <si>
    <t>ANÁLISIS DE RENTABILIDAD</t>
  </si>
  <si>
    <t>ANÁLISIS DEL ENDEUDAMIENTO</t>
  </si>
  <si>
    <t xml:space="preserve">TOTAL PASIVOS Y PATRIMONIO </t>
  </si>
  <si>
    <r>
      <t xml:space="preserve">ESTADOS DE RESULTADOS COMPARATIVOS
Agropecuaria Sierra Nevada
</t>
    </r>
    <r>
      <rPr>
        <b/>
        <sz val="8"/>
        <color theme="1"/>
        <rFont val="Arial"/>
        <family val="2"/>
      </rPr>
      <t>AL 31 DE DICIEMBRE DE 2015, 2016, 2017, 2018  (PESOS COLOMBIANOS)</t>
    </r>
  </si>
  <si>
    <r>
      <t xml:space="preserve">BALANCES GENERALES COMPARATIVOS
Agropecuaria Sierra Nevada
</t>
    </r>
    <r>
      <rPr>
        <b/>
        <sz val="8"/>
        <color theme="1"/>
        <rFont val="Arial"/>
        <family val="2"/>
      </rPr>
      <t>AL 31 DE DICIEMBRE DE 2015, 2016, 2017, 2018  (PESOS COLOMBIANOS)</t>
    </r>
  </si>
  <si>
    <r>
      <t xml:space="preserve">ESTADO DE FUENTES Y APLICACIÓN
Agropecuaria Sierra Nevada
</t>
    </r>
    <r>
      <rPr>
        <b/>
        <sz val="8"/>
        <color theme="1"/>
        <rFont val="Arial"/>
        <family val="2"/>
      </rPr>
      <t>AL 31 DE DICIEMBRE DE 2015, 2016, 2017, 2018  (PESOS COLOMBIANOS)</t>
    </r>
  </si>
  <si>
    <r>
      <t xml:space="preserve">INDICADORES FINANCIEROS
Agropecuaria Sierra Nevada
</t>
    </r>
    <r>
      <rPr>
        <b/>
        <sz val="8"/>
        <color theme="1"/>
        <rFont val="Arial"/>
        <family val="2"/>
      </rPr>
      <t>AL 31 DE DICIEMBRE DE 2015, 2016, 2017, 2018  (PESOS COLOMBIANOS)</t>
    </r>
  </si>
  <si>
    <r>
      <t xml:space="preserve">BALANCES GENERALES
Agropecuaria Sierra Nevada
</t>
    </r>
    <r>
      <rPr>
        <b/>
        <sz val="8"/>
        <color theme="1"/>
        <rFont val="Arial"/>
        <family val="2"/>
      </rPr>
      <t>AL 31 DE DICIEMBRE DE 2015, 2016, 2017, 2018  (PESOS COLOMBIANOS)</t>
    </r>
  </si>
  <si>
    <r>
      <t>ESTADO DE RESULTADOS
Agropecuaria Sierra Nevada</t>
    </r>
    <r>
      <rPr>
        <b/>
        <sz val="8"/>
        <color theme="1"/>
        <rFont val="Arial"/>
        <family val="2"/>
      </rPr>
      <t xml:space="preserve">
AL 31 DE DICIEMBRE DE 2015, 2016, 2017, 2018  (PESOS COLOMBIANOS)</t>
    </r>
  </si>
  <si>
    <t>Variación 2018-2019</t>
  </si>
  <si>
    <t>Análisis 2018-2019</t>
  </si>
  <si>
    <t>ANÁLISIS GRÁFICO</t>
  </si>
  <si>
    <t>Año 2020</t>
  </si>
  <si>
    <t>Año 2021</t>
  </si>
  <si>
    <t>Año 2022</t>
  </si>
  <si>
    <t>Año 2023</t>
  </si>
  <si>
    <t>Año 2024</t>
  </si>
  <si>
    <t>Venta de activos</t>
  </si>
  <si>
    <t>Venta de productos pscícolas</t>
  </si>
  <si>
    <t>Venta Cadenas Hortofrutícolas</t>
  </si>
  <si>
    <t>Inversiones en mejoramiento organizacional</t>
  </si>
  <si>
    <t>De productos pscícolas</t>
  </si>
  <si>
    <t>Otros Activos</t>
  </si>
  <si>
    <t>Otros activos (Proyectos)</t>
  </si>
  <si>
    <t xml:space="preserve">Inversiones proyecto </t>
  </si>
  <si>
    <t xml:space="preserve">Venta de Yuca </t>
  </si>
  <si>
    <t>Año 2025</t>
  </si>
  <si>
    <t>Año 2026</t>
  </si>
  <si>
    <t>Año 2027</t>
  </si>
  <si>
    <t>Año 2028</t>
  </si>
  <si>
    <t>Año 2029</t>
  </si>
  <si>
    <t>Año 2030</t>
  </si>
  <si>
    <t>Año 2031</t>
  </si>
  <si>
    <t>Año 2032</t>
  </si>
  <si>
    <t>Ingresos</t>
  </si>
  <si>
    <t>Egresos</t>
  </si>
  <si>
    <t>Flujo neto</t>
  </si>
  <si>
    <t>Vp</t>
  </si>
  <si>
    <t>Total ingresos</t>
  </si>
  <si>
    <t>Total egresos</t>
  </si>
  <si>
    <t>Saldo Total</t>
  </si>
  <si>
    <r>
      <t>FLUJO DE CAJA
Agropecuaria Sierra Nevada</t>
    </r>
    <r>
      <rPr>
        <b/>
        <sz val="8"/>
        <color theme="1"/>
        <rFont val="Arial"/>
        <family val="2"/>
      </rPr>
      <t xml:space="preserve">
(PESOS COLOMBIANOS)</t>
    </r>
  </si>
  <si>
    <t>Año</t>
  </si>
  <si>
    <r>
      <t xml:space="preserve">BALANCES GENERALES PROYECTADOS
Agropecuaria Sierra Nevada
</t>
    </r>
    <r>
      <rPr>
        <b/>
        <sz val="8"/>
        <color theme="1"/>
        <rFont val="Arial"/>
        <family val="2"/>
      </rPr>
      <t xml:space="preserve">  Proyección (PESOS COLOMBIANOS)</t>
    </r>
  </si>
  <si>
    <r>
      <t>ESTADO DE RESULTADOS PROYECTADOS
Agropecuaria Sierra Nevada</t>
    </r>
    <r>
      <rPr>
        <b/>
        <sz val="8"/>
        <color theme="1"/>
        <rFont val="Arial"/>
        <family val="2"/>
      </rPr>
      <t xml:space="preserve">
Proyección (PESOS COLOMBIANOS)</t>
    </r>
  </si>
  <si>
    <t>Valor Deuda</t>
  </si>
  <si>
    <t>Valor Pagado</t>
  </si>
  <si>
    <r>
      <t xml:space="preserve">PAGO ACREEDORES
Agropecuaria Sierra Nevada
</t>
    </r>
    <r>
      <rPr>
        <b/>
        <sz val="8"/>
        <color theme="1"/>
        <rFont val="Arial"/>
        <family val="2"/>
      </rPr>
      <t xml:space="preserve">  Proyección (PESOS COLOMBIANOS)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</si>
</sst>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&quot;$&quot;\ * #,##0_-;\-&quot;$&quot;\ * #,##0_-;_-&quot;$&quot;\ * &quot;-&quot;_-;_-@_-"/>
    <numFmt numFmtId="164" formatCode="_ &quot;S/.&quot;\ * #,##0.00_ ;_ &quot;S/.&quot;\ * \-#,##0.00_ ;_ &quot;S/.&quot;\ * &quot;-&quot;??_ ;_ @_ "/>
    <numFmt numFmtId="165" formatCode="_-[$$-240A]\ * #,##0_ ;_-[$$-240A]\ * \-#,##0\ ;_-[$$-240A]\ * &quot;-&quot;_ ;_-@_ "/>
    <numFmt numFmtId="166" formatCode="_-[$$-240A]\ * #,##0_ ;_-[$$-240A]\ * \-#,##0\ ;_-[$$-240A]\ * &quot;-&quot;??_ ;_-@_ "/>
    <numFmt numFmtId="167" formatCode="_-[$$-240A]\ * #,##0.000_ ;_-[$$-240A]\ * \-#,##0.000\ ;_-[$$-240A]\ * &quot;-&quot;??_ ;_-@_ "/>
    <numFmt numFmtId="168" formatCode="0.0%"/>
    <numFmt numFmtId="169" formatCode="0.000%"/>
    <numFmt numFmtId="170" formatCode="_-[$$-240A]\ * #,##0.0_ ;_-[$$-240A]\ * \-#,##0.0\ ;_-[$$-240A]\ * &quot;-&quot;??_ ;_-@_ "/>
    <numFmt numFmtId="171" formatCode="_([$$-240A]\ * #,##0.00_);_([$$-240A]\ * \(#,##0.00\);_([$$-240A]\ * &quot;-&quot;??_);_(@_)"/>
    <numFmt numFmtId="172" formatCode="_ &quot;$&quot;\ * #,##0_ ;_ &quot;$&quot;\ * \-#,##0_ ;_ &quot;$&quot;\ * &quot;-&quot;??_ ;_ @_ "/>
    <numFmt numFmtId="173" formatCode="_ * #,##0.00_ ;_ * \-#,##0.00_ ;_ * &quot;-&quot;??_ ;_ @_ "/>
    <numFmt numFmtId="174" formatCode="_-&quot;$&quot;\ * #,##0.00_-;\-&quot;$&quot;\ * #,##0.00_-;_-&quot;$&quot;\ * &quot;-&quot;_-;_-@_-"/>
    <numFmt numFmtId="175" formatCode="_(&quot;$&quot;\ * #,##0.00_);_(&quot;$&quot;\ * \(#,##0.00\);_(&quot;$&quot;\ * &quot;-&quot;??_);_(@_)"/>
    <numFmt numFmtId="176" formatCode="&quot;$&quot;\ 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FFC000"/>
      <name val="Arial"/>
      <family val="2"/>
    </font>
    <font>
      <b/>
      <sz val="11"/>
      <color rgb="FFFFC00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10"/>
      <color theme="8" tint="-0.249977111117893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8B2CA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/>
    <xf numFmtId="0" fontId="2" fillId="0" borderId="1" xfId="0" applyFont="1" applyBorder="1"/>
    <xf numFmtId="0" fontId="2" fillId="0" borderId="0" xfId="0" applyFont="1"/>
    <xf numFmtId="165" fontId="2" fillId="0" borderId="1" xfId="0" applyNumberFormat="1" applyFont="1" applyBorder="1"/>
    <xf numFmtId="0" fontId="8" fillId="0" borderId="1" xfId="0" applyFont="1" applyBorder="1"/>
    <xf numFmtId="166" fontId="8" fillId="0" borderId="1" xfId="0" applyNumberFormat="1" applyFont="1" applyBorder="1"/>
    <xf numFmtId="166" fontId="8" fillId="0" borderId="1" xfId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166" fontId="7" fillId="0" borderId="1" xfId="0" applyNumberFormat="1" applyFont="1" applyBorder="1" applyAlignment="1"/>
    <xf numFmtId="0" fontId="9" fillId="0" borderId="1" xfId="0" applyFont="1" applyBorder="1"/>
    <xf numFmtId="0" fontId="7" fillId="0" borderId="1" xfId="0" applyFont="1" applyBorder="1"/>
    <xf numFmtId="166" fontId="7" fillId="0" borderId="1" xfId="0" applyNumberFormat="1" applyFont="1" applyBorder="1" applyAlignment="1">
      <alignment horizontal="right"/>
    </xf>
    <xf numFmtId="166" fontId="7" fillId="0" borderId="1" xfId="1" applyNumberFormat="1" applyFont="1" applyBorder="1"/>
    <xf numFmtId="166" fontId="7" fillId="0" borderId="1" xfId="0" applyNumberFormat="1" applyFont="1" applyBorder="1"/>
    <xf numFmtId="166" fontId="8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Fill="1"/>
    <xf numFmtId="0" fontId="3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5" fontId="8" fillId="0" borderId="0" xfId="0" applyNumberFormat="1" applyFont="1"/>
    <xf numFmtId="0" fontId="8" fillId="0" borderId="1" xfId="0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7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/>
    <xf numFmtId="10" fontId="8" fillId="0" borderId="1" xfId="3" applyNumberFormat="1" applyFont="1" applyFill="1" applyBorder="1"/>
    <xf numFmtId="169" fontId="8" fillId="0" borderId="1" xfId="3" applyNumberFormat="1" applyFont="1" applyFill="1" applyBorder="1"/>
    <xf numFmtId="169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3" fillId="0" borderId="0" xfId="0" applyFont="1"/>
    <xf numFmtId="0" fontId="7" fillId="0" borderId="1" xfId="0" applyFont="1" applyFill="1" applyBorder="1"/>
    <xf numFmtId="0" fontId="8" fillId="0" borderId="0" xfId="0" applyFont="1" applyAlignment="1">
      <alignment vertical="center"/>
    </xf>
    <xf numFmtId="165" fontId="2" fillId="0" borderId="0" xfId="0" applyNumberFormat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/>
    <xf numFmtId="165" fontId="7" fillId="0" borderId="1" xfId="0" applyNumberFormat="1" applyFont="1" applyFill="1" applyBorder="1" applyAlignment="1"/>
    <xf numFmtId="165" fontId="8" fillId="0" borderId="1" xfId="1" applyNumberFormat="1" applyFont="1" applyFill="1" applyBorder="1"/>
    <xf numFmtId="9" fontId="8" fillId="0" borderId="1" xfId="3" applyFont="1" applyFill="1" applyBorder="1"/>
    <xf numFmtId="165" fontId="8" fillId="0" borderId="1" xfId="3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165" fontId="8" fillId="0" borderId="0" xfId="0" applyNumberFormat="1" applyFont="1" applyFill="1"/>
    <xf numFmtId="165" fontId="8" fillId="0" borderId="0" xfId="1" applyNumberFormat="1" applyFont="1" applyFill="1"/>
    <xf numFmtId="9" fontId="8" fillId="0" borderId="0" xfId="3" applyFont="1" applyFill="1"/>
    <xf numFmtId="165" fontId="2" fillId="0" borderId="0" xfId="0" applyNumberFormat="1" applyFont="1" applyFill="1"/>
    <xf numFmtId="165" fontId="2" fillId="0" borderId="0" xfId="1" applyNumberFormat="1" applyFont="1" applyFill="1"/>
    <xf numFmtId="9" fontId="2" fillId="0" borderId="0" xfId="3" applyFont="1" applyFill="1"/>
    <xf numFmtId="165" fontId="2" fillId="0" borderId="0" xfId="1" applyNumberFormat="1" applyFont="1"/>
    <xf numFmtId="9" fontId="2" fillId="0" borderId="0" xfId="3" applyFont="1"/>
    <xf numFmtId="0" fontId="2" fillId="0" borderId="1" xfId="0" applyFont="1" applyBorder="1" applyAlignment="1">
      <alignment horizontal="center" vertical="center"/>
    </xf>
    <xf numFmtId="173" fontId="2" fillId="0" borderId="1" xfId="0" applyNumberFormat="1" applyFont="1" applyBorder="1"/>
    <xf numFmtId="171" fontId="3" fillId="0" borderId="0" xfId="0" applyNumberFormat="1" applyFont="1" applyFill="1" applyBorder="1"/>
    <xf numFmtId="166" fontId="8" fillId="0" borderId="1" xfId="0" applyNumberFormat="1" applyFont="1" applyBorder="1" applyAlignment="1">
      <alignment horizontal="center"/>
    </xf>
    <xf numFmtId="10" fontId="8" fillId="4" borderId="1" xfId="3" applyNumberFormat="1" applyFont="1" applyFill="1" applyBorder="1"/>
    <xf numFmtId="10" fontId="8" fillId="0" borderId="1" xfId="3" applyNumberFormat="1" applyFont="1" applyBorder="1"/>
    <xf numFmtId="166" fontId="8" fillId="0" borderId="0" xfId="0" applyNumberFormat="1" applyFont="1"/>
    <xf numFmtId="168" fontId="8" fillId="4" borderId="1" xfId="3" applyNumberFormat="1" applyFont="1" applyFill="1" applyBorder="1"/>
    <xf numFmtId="166" fontId="8" fillId="4" borderId="1" xfId="0" applyNumberFormat="1" applyFont="1" applyFill="1" applyBorder="1"/>
    <xf numFmtId="10" fontId="8" fillId="0" borderId="0" xfId="0" applyNumberFormat="1" applyFont="1"/>
    <xf numFmtId="167" fontId="8" fillId="0" borderId="1" xfId="0" applyNumberFormat="1" applyFont="1" applyBorder="1"/>
    <xf numFmtId="166" fontId="8" fillId="0" borderId="0" xfId="2" applyNumberFormat="1" applyFont="1"/>
    <xf numFmtId="170" fontId="8" fillId="0" borderId="1" xfId="0" applyNumberFormat="1" applyFont="1" applyBorder="1"/>
    <xf numFmtId="0" fontId="10" fillId="5" borderId="1" xfId="0" applyFont="1" applyFill="1" applyBorder="1"/>
    <xf numFmtId="166" fontId="10" fillId="5" borderId="1" xfId="0" applyNumberFormat="1" applyFont="1" applyFill="1" applyBorder="1"/>
    <xf numFmtId="166" fontId="8" fillId="0" borderId="0" xfId="0" applyNumberFormat="1" applyFont="1" applyFill="1"/>
    <xf numFmtId="169" fontId="8" fillId="4" borderId="1" xfId="3" applyNumberFormat="1" applyFont="1" applyFill="1" applyBorder="1"/>
    <xf numFmtId="4" fontId="8" fillId="0" borderId="1" xfId="3" applyNumberFormat="1" applyFont="1" applyFill="1" applyBorder="1" applyAlignment="1"/>
    <xf numFmtId="0" fontId="8" fillId="0" borderId="1" xfId="3" applyNumberFormat="1" applyFont="1" applyFill="1" applyBorder="1" applyAlignment="1"/>
    <xf numFmtId="0" fontId="8" fillId="0" borderId="1" xfId="0" applyFont="1" applyFill="1" applyBorder="1" applyAlignment="1"/>
    <xf numFmtId="0" fontId="8" fillId="0" borderId="1" xfId="0" applyNumberFormat="1" applyFont="1" applyFill="1" applyBorder="1"/>
    <xf numFmtId="2" fontId="8" fillId="0" borderId="1" xfId="3" applyNumberFormat="1" applyFont="1" applyFill="1" applyBorder="1"/>
    <xf numFmtId="2" fontId="8" fillId="0" borderId="1" xfId="3" applyNumberFormat="1" applyFont="1" applyBorder="1"/>
    <xf numFmtId="174" fontId="8" fillId="0" borderId="1" xfId="3" applyNumberFormat="1" applyFont="1" applyBorder="1"/>
    <xf numFmtId="42" fontId="2" fillId="0" borderId="1" xfId="4" applyFont="1" applyBorder="1" applyAlignment="1">
      <alignment horizontal="center" vertical="center"/>
    </xf>
    <xf numFmtId="42" fontId="2" fillId="0" borderId="0" xfId="4" applyFont="1"/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/>
    </xf>
    <xf numFmtId="42" fontId="7" fillId="0" borderId="1" xfId="4" applyFont="1" applyBorder="1" applyAlignment="1">
      <alignment horizontal="center" vertical="center"/>
    </xf>
    <xf numFmtId="42" fontId="8" fillId="0" borderId="1" xfId="4" applyFont="1" applyBorder="1" applyAlignment="1">
      <alignment horizontal="right"/>
    </xf>
    <xf numFmtId="42" fontId="8" fillId="0" borderId="1" xfId="4" applyFont="1" applyBorder="1"/>
    <xf numFmtId="42" fontId="8" fillId="2" borderId="1" xfId="4" applyFont="1" applyFill="1" applyBorder="1" applyAlignment="1">
      <alignment horizontal="right"/>
    </xf>
    <xf numFmtId="42" fontId="8" fillId="2" borderId="1" xfId="4" applyFont="1" applyFill="1" applyBorder="1"/>
    <xf numFmtId="42" fontId="7" fillId="0" borderId="1" xfId="4" applyFont="1" applyBorder="1" applyAlignment="1">
      <alignment horizontal="right"/>
    </xf>
    <xf numFmtId="42" fontId="7" fillId="0" borderId="1" xfId="4" applyFont="1" applyBorder="1"/>
    <xf numFmtId="0" fontId="8" fillId="0" borderId="1" xfId="0" applyFont="1" applyBorder="1" applyAlignment="1">
      <alignment vertical="center" wrapText="1"/>
    </xf>
    <xf numFmtId="0" fontId="7" fillId="0" borderId="0" xfId="0" applyFont="1"/>
    <xf numFmtId="0" fontId="12" fillId="0" borderId="1" xfId="0" applyFont="1" applyFill="1" applyBorder="1"/>
    <xf numFmtId="166" fontId="12" fillId="0" borderId="1" xfId="0" applyNumberFormat="1" applyFont="1" applyFill="1" applyBorder="1"/>
    <xf numFmtId="0" fontId="3" fillId="5" borderId="1" xfId="0" applyFont="1" applyFill="1" applyBorder="1" applyAlignment="1">
      <alignment horizontal="center" vertical="center"/>
    </xf>
    <xf numFmtId="42" fontId="3" fillId="5" borderId="1" xfId="4" applyFont="1" applyFill="1" applyBorder="1" applyAlignment="1">
      <alignment horizontal="center" vertical="center" wrapText="1"/>
    </xf>
    <xf numFmtId="42" fontId="3" fillId="5" borderId="1" xfId="4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165" fontId="7" fillId="0" borderId="1" xfId="1" applyNumberFormat="1" applyFont="1" applyFill="1" applyBorder="1" applyAlignment="1">
      <alignment horizontal="center" vertical="center"/>
    </xf>
    <xf numFmtId="9" fontId="4" fillId="5" borderId="1" xfId="3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9" fontId="7" fillId="5" borderId="1" xfId="3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2" fontId="8" fillId="0" borderId="1" xfId="4" applyFont="1" applyFill="1" applyBorder="1"/>
    <xf numFmtId="0" fontId="7" fillId="3" borderId="1" xfId="3" applyNumberFormat="1" applyFont="1" applyFill="1" applyBorder="1" applyAlignment="1">
      <alignment horizontal="center" vertical="center"/>
    </xf>
    <xf numFmtId="172" fontId="13" fillId="0" borderId="1" xfId="0" applyNumberFormat="1" applyFont="1" applyFill="1" applyBorder="1"/>
    <xf numFmtId="0" fontId="15" fillId="3" borderId="1" xfId="0" applyFont="1" applyFill="1" applyBorder="1"/>
    <xf numFmtId="0" fontId="4" fillId="0" borderId="1" xfId="0" applyFont="1" applyFill="1" applyBorder="1"/>
    <xf numFmtId="0" fontId="14" fillId="0" borderId="0" xfId="0" applyFont="1" applyAlignment="1">
      <alignment horizontal="center"/>
    </xf>
    <xf numFmtId="0" fontId="7" fillId="0" borderId="5" xfId="0" applyFont="1" applyFill="1" applyBorder="1"/>
    <xf numFmtId="166" fontId="8" fillId="0" borderId="0" xfId="0" applyNumberFormat="1" applyFont="1" applyBorder="1"/>
    <xf numFmtId="166" fontId="7" fillId="5" borderId="1" xfId="0" applyNumberFormat="1" applyFont="1" applyFill="1" applyBorder="1" applyAlignment="1">
      <alignment horizontal="center" vertical="center"/>
    </xf>
    <xf numFmtId="166" fontId="7" fillId="5" borderId="1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/>
    </xf>
    <xf numFmtId="10" fontId="0" fillId="0" borderId="0" xfId="0" applyNumberFormat="1"/>
    <xf numFmtId="0" fontId="7" fillId="5" borderId="1" xfId="0" applyFont="1" applyFill="1" applyBorder="1" applyAlignment="1">
      <alignment horizontal="center"/>
    </xf>
    <xf numFmtId="0" fontId="8" fillId="0" borderId="0" xfId="0" applyNumberFormat="1" applyFont="1"/>
    <xf numFmtId="0" fontId="7" fillId="5" borderId="1" xfId="0" applyFont="1" applyFill="1" applyBorder="1" applyAlignment="1">
      <alignment horizontal="left"/>
    </xf>
    <xf numFmtId="42" fontId="8" fillId="0" borderId="0" xfId="0" applyNumberFormat="1" applyFont="1"/>
    <xf numFmtId="9" fontId="8" fillId="0" borderId="0" xfId="3" applyFont="1"/>
    <xf numFmtId="166" fontId="4" fillId="6" borderId="1" xfId="0" applyNumberFormat="1" applyFont="1" applyFill="1" applyBorder="1"/>
    <xf numFmtId="166" fontId="7" fillId="0" borderId="1" xfId="0" applyNumberFormat="1" applyFont="1" applyFill="1" applyBorder="1"/>
    <xf numFmtId="166" fontId="7" fillId="0" borderId="1" xfId="1" applyNumberFormat="1" applyFont="1" applyFill="1" applyBorder="1"/>
    <xf numFmtId="166" fontId="8" fillId="0" borderId="1" xfId="0" applyNumberFormat="1" applyFont="1" applyFill="1" applyBorder="1"/>
    <xf numFmtId="166" fontId="8" fillId="0" borderId="1" xfId="1" applyNumberFormat="1" applyFont="1" applyFill="1" applyBorder="1"/>
    <xf numFmtId="42" fontId="7" fillId="0" borderId="0" xfId="4" applyFont="1" applyBorder="1" applyAlignment="1">
      <alignment horizontal="center" vertical="center"/>
    </xf>
    <xf numFmtId="42" fontId="17" fillId="0" borderId="1" xfId="4" applyFont="1" applyFill="1" applyBorder="1"/>
    <xf numFmtId="42" fontId="17" fillId="0" borderId="1" xfId="4" applyFont="1" applyBorder="1"/>
    <xf numFmtId="166" fontId="12" fillId="0" borderId="1" xfId="0" applyNumberFormat="1" applyFont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176" fontId="19" fillId="0" borderId="0" xfId="0" applyNumberFormat="1" applyFont="1" applyAlignment="1">
      <alignment horizontal="center"/>
    </xf>
    <xf numFmtId="37" fontId="19" fillId="0" borderId="0" xfId="0" applyNumberFormat="1" applyFont="1" applyAlignment="1">
      <alignment horizontal="center"/>
    </xf>
    <xf numFmtId="38" fontId="19" fillId="0" borderId="0" xfId="0" applyNumberFormat="1" applyFont="1"/>
    <xf numFmtId="9" fontId="19" fillId="0" borderId="0" xfId="0" applyNumberFormat="1" applyFont="1"/>
    <xf numFmtId="37" fontId="18" fillId="0" borderId="0" xfId="0" applyNumberFormat="1" applyFont="1" applyAlignment="1">
      <alignment horizontal="center"/>
    </xf>
    <xf numFmtId="42" fontId="19" fillId="0" borderId="0" xfId="0" applyNumberFormat="1" applyFont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14" fillId="0" borderId="0" xfId="0" applyFont="1" applyAlignment="1">
      <alignment horizontal="center" wrapText="1"/>
    </xf>
    <xf numFmtId="166" fontId="4" fillId="5" borderId="1" xfId="0" applyNumberFormat="1" applyFont="1" applyFill="1" applyBorder="1" applyAlignment="1">
      <alignment horizontal="center" vertical="center"/>
    </xf>
    <xf numFmtId="166" fontId="4" fillId="5" borderId="1" xfId="1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/>
    <xf numFmtId="0" fontId="11" fillId="5" borderId="1" xfId="0" applyFont="1" applyFill="1" applyBorder="1" applyAlignment="1">
      <alignment horizontal="center" vertical="center" wrapText="1"/>
    </xf>
    <xf numFmtId="0" fontId="21" fillId="0" borderId="1" xfId="0" applyFont="1" applyBorder="1"/>
    <xf numFmtId="42" fontId="20" fillId="0" borderId="1" xfId="4" applyFont="1" applyBorder="1"/>
    <xf numFmtId="0" fontId="20" fillId="0" borderId="1" xfId="0" applyFont="1" applyBorder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11" fillId="5" borderId="4" xfId="0" applyFont="1" applyFill="1" applyBorder="1"/>
    <xf numFmtId="0" fontId="11" fillId="5" borderId="3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/>
    <xf numFmtId="0" fontId="7" fillId="3" borderId="1" xfId="0" applyFont="1" applyFill="1" applyBorder="1" applyAlignment="1">
      <alignment horizontal="center" vertical="center"/>
    </xf>
  </cellXfs>
  <cellStyles count="6">
    <cellStyle name="Moneda [0]" xfId="4" builtinId="7"/>
    <cellStyle name="Moneda 2" xfId="1" xr:uid="{00000000-0005-0000-0000-000001000000}"/>
    <cellStyle name="Moneda 3" xfId="2" xr:uid="{00000000-0005-0000-0000-000002000000}"/>
    <cellStyle name="Moneda 4" xfId="5" xr:uid="{00000000-0005-0000-0000-000003000000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C000"/>
      <color rgb="FF08B2CA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 sz="14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Distribución</a:t>
            </a:r>
            <a:r>
              <a:rPr lang="es-ES" sz="14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los recursos de la empresa 2019</a:t>
            </a:r>
            <a:endParaRPr lang="es-ES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8B2CA"/>
            </a:solidFill>
            <a:scene3d>
              <a:camera prst="orthographicFront"/>
              <a:lightRig rig="threePt" dir="t"/>
            </a:scene3d>
            <a:sp3d prstMaterial="metal">
              <a:bevelT w="88900" h="889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'1.Balances Generales'!$H$20:$H$22</c:f>
              <c:strCache>
                <c:ptCount val="3"/>
                <c:pt idx="0">
                  <c:v>ACTIVO</c:v>
                </c:pt>
                <c:pt idx="1">
                  <c:v>PASIVO</c:v>
                </c:pt>
                <c:pt idx="2">
                  <c:v>PATRIMONIO</c:v>
                </c:pt>
              </c:strCache>
            </c:strRef>
          </c:cat>
          <c:val>
            <c:numRef>
              <c:f>'1.Balances Generales'!$I$20:$I$22</c:f>
              <c:numCache>
                <c:formatCode>_-[$$-240A]\ * #,##0_ ;_-[$$-240A]\ * \-#,##0\ ;_-[$$-240A]\ * "-"??_ ;_-@_ </c:formatCode>
                <c:ptCount val="3"/>
                <c:pt idx="0">
                  <c:v>13314565791</c:v>
                </c:pt>
                <c:pt idx="1">
                  <c:v>3345125445</c:v>
                </c:pt>
                <c:pt idx="2">
                  <c:v>9969440346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9-465B-8A93-7E71299B66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7272192"/>
        <c:axId val="57273728"/>
      </c:barChart>
      <c:catAx>
        <c:axId val="5727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b="1">
                <a:latin typeface="Century Gothic" pitchFamily="34" charset="0"/>
              </a:defRPr>
            </a:pPr>
            <a:endParaRPr lang="es-CO"/>
          </a:p>
        </c:txPr>
        <c:crossAx val="57273728"/>
        <c:crosses val="autoZero"/>
        <c:auto val="1"/>
        <c:lblAlgn val="ctr"/>
        <c:lblOffset val="100"/>
        <c:noMultiLvlLbl val="0"/>
      </c:catAx>
      <c:valAx>
        <c:axId val="57273728"/>
        <c:scaling>
          <c:orientation val="minMax"/>
        </c:scaling>
        <c:delete val="1"/>
        <c:axPos val="l"/>
        <c:numFmt formatCode="_-[$$-240A]\ * #,##0_ ;_-[$$-240A]\ * \-#,##0\ ;_-[$$-240A]\ * &quot;-&quot;??_ ;_-@_ " sourceLinked="1"/>
        <c:majorTickMark val="out"/>
        <c:minorTickMark val="none"/>
        <c:tickLblPos val="nextTo"/>
        <c:crossAx val="57272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Flujo</a:t>
            </a:r>
            <a:r>
              <a:rPr lang="es-ES" baseline="0"/>
              <a:t> de Caja del proyecto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 Flujo de caja'!$A$3</c:f>
              <c:strCache>
                <c:ptCount val="1"/>
                <c:pt idx="0">
                  <c:v>Año</c:v>
                </c:pt>
              </c:strCache>
            </c:strRef>
          </c:tx>
          <c:invertIfNegative val="0"/>
          <c:val>
            <c:numRef>
              <c:f>'10. Flujo de caja'!$A$4:$A$16</c:f>
              <c:numCache>
                <c:formatCode>General</c:formatCode>
                <c:ptCount val="1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0-4BB8-93BB-ECB1C5D1F76D}"/>
            </c:ext>
          </c:extLst>
        </c:ser>
        <c:ser>
          <c:idx val="1"/>
          <c:order val="1"/>
          <c:tx>
            <c:strRef>
              <c:f>'10. Flujo de caja'!$B$3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rgbClr val="08B2CA"/>
            </a:solidFill>
          </c:spPr>
          <c:invertIfNegative val="0"/>
          <c:val>
            <c:numRef>
              <c:f>'10. Flujo de caja'!$B$4:$B$16</c:f>
              <c:numCache>
                <c:formatCode>"$"\ #,##0</c:formatCode>
                <c:ptCount val="13"/>
                <c:pt idx="0" formatCode="_(&quot;$&quot;* #,##0_);_(&quot;$&quot;* \(#,##0\);_(&quot;$&quot;* &quot;-&quot;_);_(@_)">
                  <c:v>235497725.03999999</c:v>
                </c:pt>
                <c:pt idx="1">
                  <c:v>242562656.79120001</c:v>
                </c:pt>
                <c:pt idx="2">
                  <c:v>249839536.49493602</c:v>
                </c:pt>
                <c:pt idx="3">
                  <c:v>1255000000</c:v>
                </c:pt>
                <c:pt idx="4">
                  <c:v>1416000000</c:v>
                </c:pt>
                <c:pt idx="5">
                  <c:v>1614800000</c:v>
                </c:pt>
                <c:pt idx="6">
                  <c:v>1861200000</c:v>
                </c:pt>
                <c:pt idx="7">
                  <c:v>2167856000</c:v>
                </c:pt>
                <c:pt idx="8">
                  <c:v>2031209600</c:v>
                </c:pt>
                <c:pt idx="9">
                  <c:v>2512746880</c:v>
                </c:pt>
                <c:pt idx="10">
                  <c:v>3120709760</c:v>
                </c:pt>
                <c:pt idx="11">
                  <c:v>3892430617.5999999</c:v>
                </c:pt>
                <c:pt idx="12">
                  <c:v>4877527208.9599991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0-4BB8-93BB-ECB1C5D1F76D}"/>
            </c:ext>
          </c:extLst>
        </c:ser>
        <c:ser>
          <c:idx val="2"/>
          <c:order val="2"/>
          <c:tx>
            <c:strRef>
              <c:f>'10. Flujo de caja'!$C$3</c:f>
              <c:strCache>
                <c:ptCount val="1"/>
                <c:pt idx="0">
                  <c:v>Egresos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'10. Flujo de caja'!$C$4:$C$16</c:f>
              <c:numCache>
                <c:formatCode>"$"\ #,##0</c:formatCode>
                <c:ptCount val="13"/>
                <c:pt idx="0">
                  <c:v>761849569.7984333</c:v>
                </c:pt>
                <c:pt idx="1">
                  <c:v>784705056.89238644</c:v>
                </c:pt>
                <c:pt idx="2">
                  <c:v>808246208.59915805</c:v>
                </c:pt>
                <c:pt idx="3">
                  <c:v>1814800451.0705144</c:v>
                </c:pt>
                <c:pt idx="4">
                  <c:v>1367192696.916687</c:v>
                </c:pt>
                <c:pt idx="5">
                  <c:v>1402812941.8241875</c:v>
                </c:pt>
                <c:pt idx="6">
                  <c:v>1431001794.078913</c:v>
                </c:pt>
                <c:pt idx="7">
                  <c:v>1468791311.9012809</c:v>
                </c:pt>
                <c:pt idx="8">
                  <c:v>1336363315.2583194</c:v>
                </c:pt>
                <c:pt idx="9">
                  <c:v>1376454214.7160687</c:v>
                </c:pt>
                <c:pt idx="10">
                  <c:v>1417747841.1575506</c:v>
                </c:pt>
                <c:pt idx="11">
                  <c:v>1460280276.3922782</c:v>
                </c:pt>
                <c:pt idx="12">
                  <c:v>1504088684.6840453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60-4BB8-93BB-ECB1C5D1F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49955936"/>
        <c:axId val="-1949951040"/>
      </c:barChart>
      <c:catAx>
        <c:axId val="-194995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overlay val="0"/>
        </c:title>
        <c:majorTickMark val="none"/>
        <c:minorTickMark val="none"/>
        <c:tickLblPos val="none"/>
        <c:crossAx val="-1949951040"/>
        <c:crosses val="autoZero"/>
        <c:auto val="1"/>
        <c:lblAlgn val="ctr"/>
        <c:lblOffset val="100"/>
        <c:noMultiLvlLbl val="0"/>
      </c:catAx>
      <c:valAx>
        <c:axId val="-1949951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94995593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020183120674268E-2"/>
                <c:y val="0.19293288338957634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ES"/>
                    <a:t>Ingresos y egresos</a:t>
                  </a:r>
                  <a:r>
                    <a:rPr lang="es-ES" baseline="0"/>
                    <a:t> (</a:t>
                  </a:r>
                  <a:r>
                    <a:rPr lang="es-ES"/>
                    <a:t>Millones)</a:t>
                  </a:r>
                </a:p>
              </c:rich>
            </c:tx>
          </c:dispUnitsLbl>
        </c:dispUnits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</xdr:row>
      <xdr:rowOff>9525</xdr:rowOff>
    </xdr:from>
    <xdr:to>
      <xdr:col>6</xdr:col>
      <xdr:colOff>180975</xdr:colOff>
      <xdr:row>20</xdr:row>
      <xdr:rowOff>38100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95274" y="200025"/>
          <a:ext cx="4457701" cy="3648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2800" b="1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ANÁLISIS FINANCIERO </a:t>
          </a:r>
        </a:p>
        <a:p>
          <a:endParaRPr lang="es-ES" sz="1100" b="1"/>
        </a:p>
        <a:p>
          <a:pPr algn="l"/>
          <a:r>
            <a:rPr lang="es-ES" sz="1100" b="1">
              <a:solidFill>
                <a:srgbClr val="08B2CA"/>
              </a:solidFill>
            </a:rPr>
            <a:t>Contenido</a:t>
          </a:r>
        </a:p>
        <a:p>
          <a:pPr algn="ctr"/>
          <a:endParaRPr lang="es-ES" sz="1100" b="0"/>
        </a:p>
        <a:p>
          <a:pPr algn="l"/>
          <a:r>
            <a:rPr lang="es-ES" sz="1100" b="0"/>
            <a:t>1. Balance</a:t>
          </a:r>
          <a:r>
            <a:rPr lang="es-ES" sz="1100" b="0" baseline="0"/>
            <a:t> general</a:t>
          </a:r>
        </a:p>
        <a:p>
          <a:pPr algn="l"/>
          <a:r>
            <a:rPr lang="es-ES" sz="1100" b="0" baseline="0"/>
            <a:t>2. Estado de Resultados</a:t>
          </a:r>
        </a:p>
        <a:p>
          <a:pPr algn="l"/>
          <a:r>
            <a:rPr lang="es-ES" sz="1100" b="0" baseline="0"/>
            <a:t>3. </a:t>
          </a:r>
          <a:r>
            <a:rPr lang="es-ES" sz="1100" b="0"/>
            <a:t>Análisis de Rentabilidad, Liquidez y endeudamiento</a:t>
          </a:r>
        </a:p>
        <a:p>
          <a:pPr algn="l"/>
          <a:r>
            <a:rPr lang="es-ES" sz="1100" b="0"/>
            <a:t>4. Estado</a:t>
          </a:r>
          <a:r>
            <a:rPr lang="es-ES" sz="1100" b="0" baseline="0"/>
            <a:t> de fuentes y aplicación de fondos</a:t>
          </a:r>
        </a:p>
        <a:p>
          <a:pPr algn="l"/>
          <a:r>
            <a:rPr lang="es-ES" sz="1100" b="0" baseline="0"/>
            <a:t>5. Análisis horizontal y vertical del balance general</a:t>
          </a:r>
        </a:p>
        <a:p>
          <a:pPr algn="l"/>
          <a:r>
            <a:rPr lang="es-ES" sz="1100" b="0" baseline="0"/>
            <a:t>6. 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Análisis horizontal y vertical del estado de resultados</a:t>
          </a:r>
        </a:p>
        <a:p>
          <a:pPr algn="l"/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7. Balances generales proyectados </a:t>
          </a:r>
        </a:p>
        <a:p>
          <a:pPr algn="l"/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8.Pago Acreedores</a:t>
          </a:r>
        </a:p>
        <a:p>
          <a:pPr algn="l"/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9. Estado de resultados proyectados </a:t>
          </a:r>
        </a:p>
        <a:p>
          <a:pPr algn="l"/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10. Flujo de Caja proyectado </a:t>
          </a:r>
        </a:p>
        <a:p>
          <a:pPr algn="l"/>
          <a:endParaRPr lang="es-ES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100" b="0" baseline="0"/>
        </a:p>
        <a:p>
          <a:pPr algn="l"/>
          <a:endParaRPr lang="es-ES" sz="1100" b="0"/>
        </a:p>
        <a:p>
          <a:pPr algn="ctr"/>
          <a:endParaRPr lang="es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96117</xdr:colOff>
      <xdr:row>15</xdr:row>
      <xdr:rowOff>153018</xdr:rowOff>
    </xdr:from>
    <xdr:to>
      <xdr:col>11</xdr:col>
      <xdr:colOff>503464</xdr:colOff>
      <xdr:row>29</xdr:row>
      <xdr:rowOff>68035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1</xdr:row>
      <xdr:rowOff>76200</xdr:rowOff>
    </xdr:from>
    <xdr:to>
      <xdr:col>19</xdr:col>
      <xdr:colOff>17319</xdr:colOff>
      <xdr:row>36</xdr:row>
      <xdr:rowOff>0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4AEB60F-E170-4E95-8691-5707CB5585EA}"/>
            </a:ext>
          </a:extLst>
        </xdr:cNvPr>
        <xdr:cNvGrpSpPr/>
      </xdr:nvGrpSpPr>
      <xdr:grpSpPr>
        <a:xfrm>
          <a:off x="7421656" y="647700"/>
          <a:ext cx="9180369" cy="5829300"/>
          <a:chOff x="7445086" y="647700"/>
          <a:chExt cx="9868644" cy="6393728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402B0730-0C16-4DF8-B48D-9C79092D51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578436" y="2400300"/>
            <a:ext cx="4590476" cy="2038095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B62F7061-5BF7-4728-8E0C-CA367F9F69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445086" y="647700"/>
            <a:ext cx="4771429" cy="1914286"/>
          </a:xfrm>
          <a:prstGeom prst="rect">
            <a:avLst/>
          </a:prstGeom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BC3B493E-7BBA-4D6A-BE2D-C05E1ADE63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389921" y="2479222"/>
            <a:ext cx="4923809" cy="1504762"/>
          </a:xfrm>
          <a:prstGeom prst="rect">
            <a:avLst/>
          </a:prstGeom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C555AACF-479B-4A7A-BA45-ED9CD4FCBD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572993" y="4898571"/>
            <a:ext cx="4733333" cy="2142857"/>
          </a:xfrm>
          <a:prstGeom prst="rect">
            <a:avLst/>
          </a:prstGeom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id="{CD83B0B4-C3D5-48A9-9EFB-C0CF45D457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866172" y="4680857"/>
            <a:ext cx="4352381" cy="2314286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57150</xdr:rowOff>
    </xdr:from>
    <xdr:to>
      <xdr:col>13</xdr:col>
      <xdr:colOff>200025</xdr:colOff>
      <xdr:row>15</xdr:row>
      <xdr:rowOff>19050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F975593E-511F-4305-9137-C67A9AC11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C%20unal3\Proyectos\Estado%20de%20situaci&#243;n%20Financiera%202015,%202016,%202017,%202018%20y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C%20unal3\Proyectos\Estado%20de%20situaci&#243;n%20Financiera%202015,%202016,%202017,%202018%20y%202019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2015"/>
      <sheetName val="ERI2015"/>
      <sheetName val="ESF2016-2015"/>
      <sheetName val="ERI2016-2015"/>
      <sheetName val="ESF2017-2016 (2)"/>
      <sheetName val="ERI2017-2016 (2)"/>
      <sheetName val="ESF2018-2017 (3)"/>
      <sheetName val="ERI2018-2017 (3)"/>
      <sheetName val="ESF2019-2018 (4)"/>
      <sheetName val="ERI2019-2018 (4)"/>
      <sheetName val="ECP 15-19"/>
      <sheetName val="ECP 15-19 (2)"/>
      <sheetName val="EFE2016-2015"/>
      <sheetName val="EFE2017-2016"/>
      <sheetName val="EFE2018-2017"/>
      <sheetName val="EFE2019-2018"/>
    </sheetNames>
    <sheetDataSet>
      <sheetData sheetId="0" refreshError="1">
        <row r="9">
          <cell r="A9" t="str">
            <v>Efectivo y equivalente a efectivo</v>
          </cell>
          <cell r="C9">
            <v>20868549</v>
          </cell>
          <cell r="E9" t="str">
            <v>Cuentas comerciales por pagar y otras cuentas comerciales por pagar</v>
          </cell>
          <cell r="H9">
            <v>202075505</v>
          </cell>
        </row>
        <row r="10">
          <cell r="A10" t="str">
            <v>Caja General</v>
          </cell>
          <cell r="C10">
            <v>20822350</v>
          </cell>
          <cell r="E10" t="str">
            <v>Costos y Gastos por Pagar</v>
          </cell>
          <cell r="H10">
            <v>2075505</v>
          </cell>
        </row>
        <row r="11">
          <cell r="A11" t="str">
            <v>Bancos</v>
          </cell>
          <cell r="C11">
            <v>46199</v>
          </cell>
          <cell r="E11" t="str">
            <v>Dividendos o Participaciones por Pagar</v>
          </cell>
          <cell r="H11">
            <v>200000000</v>
          </cell>
        </row>
        <row r="12">
          <cell r="A12" t="str">
            <v>Cuentas Comerciales por Cobrar</v>
          </cell>
          <cell r="C12">
            <v>1864956</v>
          </cell>
          <cell r="E12" t="str">
            <v>Impuestos, gravámenes, tasas</v>
          </cell>
          <cell r="H12">
            <v>7311000</v>
          </cell>
        </row>
        <row r="13">
          <cell r="A13" t="str">
            <v>Otros Activos</v>
          </cell>
          <cell r="C13">
            <v>1864956</v>
          </cell>
          <cell r="E13" t="str">
            <v>De Renta  y Complementario</v>
          </cell>
          <cell r="H13">
            <v>5376000</v>
          </cell>
        </row>
        <row r="14">
          <cell r="A14" t="str">
            <v>Total del Activo Corriente</v>
          </cell>
          <cell r="C14">
            <v>22733505</v>
          </cell>
          <cell r="E14" t="str">
            <v>De Renta para la Equidad - CREE</v>
          </cell>
          <cell r="H14">
            <v>1935000</v>
          </cell>
        </row>
        <row r="15">
          <cell r="E15" t="str">
            <v>Total del pasivo corriente</v>
          </cell>
          <cell r="H15">
            <v>209386505</v>
          </cell>
        </row>
        <row r="17">
          <cell r="E17" t="str">
            <v>Diferidos</v>
          </cell>
          <cell r="H17">
            <v>1138830584</v>
          </cell>
        </row>
        <row r="18">
          <cell r="E18" t="str">
            <v>Impuesto diferido</v>
          </cell>
          <cell r="H18">
            <v>1138830584</v>
          </cell>
        </row>
        <row r="19">
          <cell r="E19" t="str">
            <v>Total pasivos no corriente</v>
          </cell>
        </row>
        <row r="20">
          <cell r="H20">
            <v>1348217089</v>
          </cell>
        </row>
        <row r="23">
          <cell r="A23" t="str">
            <v>Propiedades,planta y equipos</v>
          </cell>
          <cell r="C23">
            <v>12524537000</v>
          </cell>
          <cell r="E23" t="str">
            <v>Capital social</v>
          </cell>
          <cell r="H23">
            <v>320000000</v>
          </cell>
        </row>
        <row r="24">
          <cell r="A24" t="str">
            <v>Terrenos</v>
          </cell>
          <cell r="C24">
            <v>12472537000</v>
          </cell>
          <cell r="E24" t="str">
            <v>Capital Suscrito y Pagado</v>
          </cell>
          <cell r="H24">
            <v>320000000</v>
          </cell>
        </row>
        <row r="25">
          <cell r="A25" t="str">
            <v>Flota y Equipo de Transporte</v>
          </cell>
          <cell r="C25">
            <v>52000000</v>
          </cell>
          <cell r="E25" t="str">
            <v>Ganancias o perdidas Retenidas</v>
          </cell>
          <cell r="H25">
            <v>-943983584</v>
          </cell>
        </row>
        <row r="26">
          <cell r="A26" t="str">
            <v>Total Activos no corriente</v>
          </cell>
          <cell r="C26">
            <v>12524537000</v>
          </cell>
        </row>
        <row r="27">
          <cell r="E27" t="str">
            <v>Resultados del Ejercicio</v>
          </cell>
          <cell r="H27">
            <v>57666116</v>
          </cell>
        </row>
        <row r="28">
          <cell r="E28" t="str">
            <v>Ajustes por adopcion NIIF pymes</v>
          </cell>
          <cell r="H28">
            <v>-1182303700</v>
          </cell>
        </row>
        <row r="29">
          <cell r="E29" t="str">
            <v>Superavit por Valorizaciones</v>
          </cell>
          <cell r="H29">
            <v>11823037000</v>
          </cell>
        </row>
        <row r="30">
          <cell r="E30" t="str">
            <v>Valorizacion de Terrenos</v>
          </cell>
          <cell r="H30">
            <v>11823037000</v>
          </cell>
        </row>
        <row r="31">
          <cell r="H31">
            <v>11199053416</v>
          </cell>
        </row>
        <row r="33">
          <cell r="C33">
            <v>12547270505</v>
          </cell>
          <cell r="H33">
            <v>12547270505</v>
          </cell>
        </row>
      </sheetData>
      <sheetData sheetId="1" refreshError="1"/>
      <sheetData sheetId="2" refreshError="1">
        <row r="10">
          <cell r="C10">
            <v>16127778</v>
          </cell>
          <cell r="J10">
            <v>330743060</v>
          </cell>
        </row>
        <row r="11">
          <cell r="C11">
            <v>11893088</v>
          </cell>
          <cell r="J11">
            <v>743060</v>
          </cell>
        </row>
        <row r="12">
          <cell r="C12">
            <v>4234690</v>
          </cell>
          <cell r="G12" t="str">
            <v>Deuda con Accionistas o Socios</v>
          </cell>
          <cell r="J12">
            <v>130000000</v>
          </cell>
        </row>
        <row r="13">
          <cell r="C13">
            <v>1873709</v>
          </cell>
          <cell r="J13">
            <v>200000000</v>
          </cell>
        </row>
        <row r="14">
          <cell r="C14">
            <v>1873709</v>
          </cell>
          <cell r="J14">
            <v>17163000</v>
          </cell>
        </row>
        <row r="15">
          <cell r="A15" t="str">
            <v>Activo por Impuestos Corrientes</v>
          </cell>
          <cell r="C15">
            <v>564197</v>
          </cell>
          <cell r="J15">
            <v>12620000</v>
          </cell>
        </row>
        <row r="16">
          <cell r="A16" t="str">
            <v>Anticipos de Impuestos y contribuciones</v>
          </cell>
          <cell r="C16">
            <v>564197</v>
          </cell>
          <cell r="J16">
            <v>4543000</v>
          </cell>
        </row>
        <row r="17">
          <cell r="A17" t="str">
            <v xml:space="preserve">Activo Biológicos </v>
          </cell>
          <cell r="C17">
            <v>268444384</v>
          </cell>
          <cell r="J17">
            <v>347906060</v>
          </cell>
        </row>
        <row r="18">
          <cell r="A18" t="str">
            <v>Cultivos en Desarrollo</v>
          </cell>
          <cell r="C18">
            <v>268444384</v>
          </cell>
        </row>
        <row r="19">
          <cell r="C19">
            <v>287010068</v>
          </cell>
        </row>
        <row r="20">
          <cell r="J20">
            <v>1130494565</v>
          </cell>
        </row>
        <row r="21">
          <cell r="J21">
            <v>1130494565</v>
          </cell>
        </row>
        <row r="23">
          <cell r="C23">
            <v>12524537000</v>
          </cell>
          <cell r="G23" t="str">
            <v>Anticipo y avances recibidos</v>
          </cell>
          <cell r="J23">
            <v>106634196</v>
          </cell>
        </row>
        <row r="24">
          <cell r="C24">
            <v>12472537000</v>
          </cell>
          <cell r="J24">
            <v>1237128761</v>
          </cell>
          <cell r="L24">
            <v>1138830584</v>
          </cell>
        </row>
        <row r="25">
          <cell r="C25">
            <v>52000000</v>
          </cell>
        </row>
        <row r="26">
          <cell r="C26">
            <v>12524537000</v>
          </cell>
          <cell r="J26">
            <v>1585034821</v>
          </cell>
        </row>
        <row r="29">
          <cell r="J29">
            <v>320000000</v>
          </cell>
        </row>
        <row r="30">
          <cell r="J30">
            <v>320000000</v>
          </cell>
        </row>
        <row r="31">
          <cell r="J31">
            <v>-916524753</v>
          </cell>
        </row>
        <row r="32">
          <cell r="G32" t="str">
            <v>Ganancias o Perdidas acumuladas</v>
          </cell>
          <cell r="J32">
            <v>238320116</v>
          </cell>
          <cell r="L32">
            <v>180654000</v>
          </cell>
        </row>
        <row r="33">
          <cell r="J33">
            <v>27458831</v>
          </cell>
        </row>
        <row r="34">
          <cell r="J34">
            <v>-1182303700</v>
          </cell>
        </row>
        <row r="35">
          <cell r="J35">
            <v>11823037000</v>
          </cell>
        </row>
        <row r="36">
          <cell r="J36">
            <v>11823037000</v>
          </cell>
        </row>
        <row r="37">
          <cell r="J37">
            <v>11226512247</v>
          </cell>
        </row>
        <row r="40">
          <cell r="C40">
            <v>12811547068</v>
          </cell>
          <cell r="J40">
            <v>12811547068</v>
          </cell>
        </row>
      </sheetData>
      <sheetData sheetId="3" refreshError="1"/>
      <sheetData sheetId="4" refreshError="1"/>
      <sheetData sheetId="5" refreshError="1"/>
      <sheetData sheetId="6" refreshError="1">
        <row r="10">
          <cell r="C10">
            <v>341735089</v>
          </cell>
          <cell r="E10">
            <v>75898259</v>
          </cell>
          <cell r="J10">
            <v>1183319291</v>
          </cell>
          <cell r="L10">
            <v>341636022</v>
          </cell>
        </row>
        <row r="11">
          <cell r="C11">
            <v>341414036</v>
          </cell>
          <cell r="E11">
            <v>72598139</v>
          </cell>
          <cell r="J11">
            <v>16223691</v>
          </cell>
          <cell r="L11">
            <v>11636022</v>
          </cell>
        </row>
        <row r="12">
          <cell r="C12">
            <v>321053</v>
          </cell>
          <cell r="E12">
            <v>3300120</v>
          </cell>
          <cell r="J12">
            <v>130000000</v>
          </cell>
          <cell r="L12">
            <v>130000000</v>
          </cell>
        </row>
        <row r="13">
          <cell r="C13">
            <v>33194509</v>
          </cell>
          <cell r="E13">
            <v>1873709</v>
          </cell>
          <cell r="J13">
            <v>200000000</v>
          </cell>
          <cell r="L13">
            <v>200000000</v>
          </cell>
        </row>
        <row r="14">
          <cell r="A14" t="str">
            <v>Clientes</v>
          </cell>
          <cell r="C14">
            <v>31320800</v>
          </cell>
          <cell r="G14" t="str">
            <v>Acreedores Varios</v>
          </cell>
          <cell r="J14">
            <v>837095600</v>
          </cell>
        </row>
        <row r="15">
          <cell r="C15">
            <v>1873709</v>
          </cell>
          <cell r="E15">
            <v>1873709</v>
          </cell>
          <cell r="J15">
            <v>54928000</v>
          </cell>
          <cell r="L15">
            <v>29811000</v>
          </cell>
        </row>
        <row r="16">
          <cell r="C16">
            <v>6864342</v>
          </cell>
          <cell r="E16">
            <v>2947888</v>
          </cell>
          <cell r="J16">
            <v>38501000</v>
          </cell>
          <cell r="L16">
            <v>25268000</v>
          </cell>
        </row>
        <row r="17">
          <cell r="C17">
            <v>6864342</v>
          </cell>
          <cell r="E17">
            <v>2947888</v>
          </cell>
          <cell r="J17">
            <v>4543000</v>
          </cell>
          <cell r="L17">
            <v>4543000</v>
          </cell>
        </row>
        <row r="18">
          <cell r="C18">
            <v>219164562</v>
          </cell>
          <cell r="E18">
            <v>196149978</v>
          </cell>
          <cell r="G18" t="str">
            <v>Impuesto Ganancia Ocasional</v>
          </cell>
          <cell r="J18">
            <v>11884000</v>
          </cell>
        </row>
        <row r="19">
          <cell r="C19">
            <v>219164562</v>
          </cell>
          <cell r="E19">
            <v>196149978</v>
          </cell>
          <cell r="J19">
            <v>1238247291</v>
          </cell>
          <cell r="L19">
            <v>371447022</v>
          </cell>
        </row>
        <row r="20">
          <cell r="C20">
            <v>600958502</v>
          </cell>
          <cell r="E20">
            <v>276869834</v>
          </cell>
        </row>
        <row r="23">
          <cell r="J23">
            <v>1114725386</v>
          </cell>
          <cell r="L23">
            <v>1126428979</v>
          </cell>
        </row>
        <row r="24">
          <cell r="J24">
            <v>1114725386</v>
          </cell>
          <cell r="L24">
            <v>1126428979</v>
          </cell>
        </row>
        <row r="25">
          <cell r="C25">
            <v>12191159000</v>
          </cell>
          <cell r="E25">
            <v>12526136000</v>
          </cell>
          <cell r="J25">
            <v>45000000</v>
          </cell>
          <cell r="L25">
            <v>50000000</v>
          </cell>
        </row>
        <row r="26">
          <cell r="C26">
            <v>12137560000</v>
          </cell>
          <cell r="E26">
            <v>12472537000</v>
          </cell>
        </row>
        <row r="27">
          <cell r="C27">
            <v>52000000</v>
          </cell>
          <cell r="E27">
            <v>52000000</v>
          </cell>
          <cell r="J27">
            <v>1159725386</v>
          </cell>
          <cell r="L27">
            <v>1176428979</v>
          </cell>
        </row>
        <row r="28">
          <cell r="A28" t="str">
            <v>Equipo de Computacion y Comunicación</v>
          </cell>
          <cell r="C28">
            <v>1599000</v>
          </cell>
          <cell r="E28">
            <v>1599000</v>
          </cell>
        </row>
        <row r="29">
          <cell r="C29">
            <v>12191159000</v>
          </cell>
          <cell r="E29">
            <v>12526136000</v>
          </cell>
          <cell r="J29">
            <v>2397972677</v>
          </cell>
          <cell r="L29">
            <v>1547876001</v>
          </cell>
        </row>
        <row r="33">
          <cell r="J33">
            <v>320000000</v>
          </cell>
        </row>
        <row r="34">
          <cell r="J34">
            <v>320000000</v>
          </cell>
          <cell r="L34">
            <v>320000000</v>
          </cell>
        </row>
        <row r="35">
          <cell r="J35">
            <v>-1634845175</v>
          </cell>
          <cell r="L35">
            <v>-887907167</v>
          </cell>
        </row>
        <row r="36">
          <cell r="J36">
            <v>294396533</v>
          </cell>
          <cell r="L36">
            <v>265778947</v>
          </cell>
        </row>
        <row r="37">
          <cell r="J37">
            <v>-746938008</v>
          </cell>
          <cell r="L37">
            <v>28617586</v>
          </cell>
        </row>
        <row r="38">
          <cell r="J38">
            <v>-1182303700</v>
          </cell>
          <cell r="L38">
            <v>-1182303700</v>
          </cell>
        </row>
        <row r="39">
          <cell r="J39">
            <v>11708990000</v>
          </cell>
          <cell r="L39">
            <v>11823037000</v>
          </cell>
        </row>
        <row r="40">
          <cell r="J40">
            <v>11708990000</v>
          </cell>
          <cell r="L40">
            <v>11823037000</v>
          </cell>
        </row>
        <row r="41">
          <cell r="J41">
            <v>10394144825</v>
          </cell>
          <cell r="L41">
            <v>11255129833</v>
          </cell>
        </row>
        <row r="43">
          <cell r="C43">
            <v>12792117502</v>
          </cell>
          <cell r="E43">
            <v>12803005834</v>
          </cell>
          <cell r="J43">
            <v>12792117502</v>
          </cell>
          <cell r="L43">
            <v>12803005834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2015"/>
      <sheetName val="ERI2015"/>
      <sheetName val="ESF2016-2015"/>
      <sheetName val="ERI2016-2015"/>
      <sheetName val="ESF2017-2016 (2)"/>
      <sheetName val="ERI2017-2016 (2)"/>
      <sheetName val="ESF2018-2017 (3)"/>
      <sheetName val="ERI2018-2017 (3)"/>
      <sheetName val="ESF2019-2018 (4)"/>
      <sheetName val="ERI2019-2018 (4)"/>
      <sheetName val="ECP 15-19"/>
      <sheetName val="EFE2016-2015"/>
      <sheetName val="EFE2017-2016"/>
      <sheetName val="EFE2018-2017"/>
      <sheetName val="EFE2019-2018"/>
    </sheetNames>
    <sheetDataSet>
      <sheetData sheetId="0" refreshError="1"/>
      <sheetData sheetId="1" refreshError="1"/>
      <sheetData sheetId="2" refreshError="1"/>
      <sheetData sheetId="3" refreshError="1">
        <row r="29">
          <cell r="F29">
            <v>808881</v>
          </cell>
        </row>
      </sheetData>
      <sheetData sheetId="4" refreshError="1"/>
      <sheetData sheetId="5" refreshError="1"/>
      <sheetData sheetId="6" refreshError="1"/>
      <sheetData sheetId="7" refreshError="1">
        <row r="33">
          <cell r="C33">
            <v>54249643</v>
          </cell>
        </row>
        <row r="35">
          <cell r="C35">
            <v>96830109</v>
          </cell>
        </row>
        <row r="37">
          <cell r="C37">
            <v>15771443</v>
          </cell>
        </row>
        <row r="45">
          <cell r="A45" t="str">
            <v>Utilidad en Venta de Propiedad</v>
          </cell>
          <cell r="C45">
            <v>279070000</v>
          </cell>
        </row>
        <row r="46">
          <cell r="A46" t="str">
            <v>Indemnizaciones</v>
          </cell>
          <cell r="C46">
            <v>6698950</v>
          </cell>
        </row>
        <row r="48">
          <cell r="C48">
            <v>-733524601</v>
          </cell>
        </row>
        <row r="53">
          <cell r="A53" t="str">
            <v>Impuesto Ganancia Ocasional</v>
          </cell>
        </row>
        <row r="54">
          <cell r="C54">
            <v>-11703593</v>
          </cell>
        </row>
        <row r="56">
          <cell r="C56">
            <v>-746938008</v>
          </cell>
        </row>
      </sheetData>
      <sheetData sheetId="8" refreshError="1">
        <row r="10">
          <cell r="C10">
            <v>287110301</v>
          </cell>
          <cell r="J10">
            <v>2004229593</v>
          </cell>
        </row>
        <row r="11">
          <cell r="C11">
            <v>190749261</v>
          </cell>
          <cell r="J11">
            <v>357872202</v>
          </cell>
        </row>
        <row r="12">
          <cell r="C12">
            <v>96361040</v>
          </cell>
          <cell r="J12">
            <v>363795000</v>
          </cell>
        </row>
        <row r="13">
          <cell r="C13">
            <v>3779109</v>
          </cell>
          <cell r="J13">
            <v>200000000</v>
          </cell>
        </row>
        <row r="14">
          <cell r="C14">
            <v>0</v>
          </cell>
          <cell r="G14" t="str">
            <v>Retencion en la Fuente</v>
          </cell>
          <cell r="J14">
            <v>270391</v>
          </cell>
        </row>
        <row r="15">
          <cell r="C15">
            <v>3779109</v>
          </cell>
          <cell r="G15" t="str">
            <v>Retenciones y Aportes de Nomina</v>
          </cell>
          <cell r="J15">
            <v>415200</v>
          </cell>
        </row>
        <row r="16">
          <cell r="C16">
            <v>7583836</v>
          </cell>
          <cell r="J16">
            <v>1081876800</v>
          </cell>
        </row>
        <row r="17">
          <cell r="C17">
            <v>7583836</v>
          </cell>
          <cell r="J17">
            <v>214494217</v>
          </cell>
        </row>
        <row r="18">
          <cell r="C18">
            <v>738758704</v>
          </cell>
          <cell r="J18">
            <v>38501000</v>
          </cell>
        </row>
        <row r="19">
          <cell r="C19">
            <v>188472204</v>
          </cell>
          <cell r="J19">
            <v>4543000</v>
          </cell>
        </row>
        <row r="20">
          <cell r="A20" t="str">
            <v>Semovientes</v>
          </cell>
          <cell r="C20">
            <v>550286500</v>
          </cell>
          <cell r="J20">
            <v>11884000</v>
          </cell>
        </row>
        <row r="21">
          <cell r="C21">
            <v>1037231950</v>
          </cell>
          <cell r="G21" t="str">
            <v>Impuesto a la Propiedad Raiz</v>
          </cell>
          <cell r="J21">
            <v>159566217</v>
          </cell>
        </row>
        <row r="22">
          <cell r="G22" t="str">
            <v>Beneficios a los Empleados</v>
          </cell>
          <cell r="J22">
            <v>3033622</v>
          </cell>
        </row>
        <row r="24">
          <cell r="J24">
            <v>2221757432</v>
          </cell>
        </row>
        <row r="28">
          <cell r="J28">
            <v>1114725386</v>
          </cell>
        </row>
        <row r="29">
          <cell r="J29">
            <v>1114725386</v>
          </cell>
        </row>
        <row r="30">
          <cell r="C30">
            <v>12277333841</v>
          </cell>
        </row>
        <row r="31">
          <cell r="C31">
            <v>12223734841</v>
          </cell>
          <cell r="J31">
            <v>8642627</v>
          </cell>
        </row>
        <row r="32">
          <cell r="C32">
            <v>52000000</v>
          </cell>
          <cell r="J32">
            <v>1123368013</v>
          </cell>
        </row>
        <row r="33">
          <cell r="C33">
            <v>1599000</v>
          </cell>
        </row>
        <row r="34">
          <cell r="C34">
            <v>12277333841</v>
          </cell>
          <cell r="J34">
            <v>3345125445</v>
          </cell>
        </row>
        <row r="38">
          <cell r="J38">
            <v>320000000</v>
          </cell>
        </row>
        <row r="39">
          <cell r="J39">
            <v>320000000</v>
          </cell>
        </row>
        <row r="40">
          <cell r="J40">
            <v>-2059549654</v>
          </cell>
        </row>
        <row r="41">
          <cell r="J41">
            <v>-452541475</v>
          </cell>
        </row>
        <row r="42">
          <cell r="J42">
            <v>-424704479</v>
          </cell>
        </row>
        <row r="43">
          <cell r="J43">
            <v>-1182303700</v>
          </cell>
        </row>
        <row r="44">
          <cell r="J44">
            <v>11708990000</v>
          </cell>
        </row>
        <row r="45">
          <cell r="J45">
            <v>11708990000</v>
          </cell>
        </row>
        <row r="46">
          <cell r="J46">
            <v>9969440346</v>
          </cell>
        </row>
        <row r="48">
          <cell r="C48">
            <v>13314565791</v>
          </cell>
          <cell r="J48">
            <v>13314565791</v>
          </cell>
        </row>
      </sheetData>
      <sheetData sheetId="9" refreshError="1">
        <row r="34">
          <cell r="C34">
            <v>9635500</v>
          </cell>
        </row>
        <row r="43">
          <cell r="A43" t="str">
            <v>Extraordinarios</v>
          </cell>
        </row>
        <row r="44">
          <cell r="A44" t="str">
            <v>Diversos</v>
          </cell>
        </row>
        <row r="46">
          <cell r="C46">
            <v>13785480</v>
          </cell>
        </row>
        <row r="47">
          <cell r="A47" t="str">
            <v>Aprovechamientos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"/>
  <sheetViews>
    <sheetView showGridLines="0" tabSelected="1" workbookViewId="0">
      <selection activeCell="I15" sqref="I15"/>
    </sheetView>
  </sheetViews>
  <sheetFormatPr baseColWidth="10" defaultRowHeight="14.25" x14ac:dyDescent="0.2"/>
  <cols>
    <col min="1" max="16384" width="11.42578125" style="3"/>
  </cols>
  <sheetData>
    <row r="16" spans="1:1" x14ac:dyDescent="0.2">
      <c r="A16" s="21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R62"/>
  <sheetViews>
    <sheetView showGridLines="0" topLeftCell="A9" zoomScale="85" zoomScaleNormal="85" workbookViewId="0">
      <selection activeCell="C66" sqref="C66"/>
    </sheetView>
  </sheetViews>
  <sheetFormatPr baseColWidth="10" defaultRowHeight="12.75" x14ac:dyDescent="0.2"/>
  <cols>
    <col min="1" max="1" width="37" style="21" bestFit="1" customWidth="1"/>
    <col min="2" max="5" width="16.85546875" style="21" customWidth="1"/>
    <col min="6" max="6" width="18.28515625" style="21" customWidth="1"/>
    <col min="7" max="15" width="17.5703125" style="21" customWidth="1"/>
    <col min="16" max="16" width="12.85546875" style="21" bestFit="1" customWidth="1"/>
    <col min="17" max="17" width="17" style="21" bestFit="1" customWidth="1"/>
    <col min="18" max="18" width="13.85546875" style="21" bestFit="1" customWidth="1"/>
    <col min="19" max="16384" width="11.42578125" style="21"/>
  </cols>
  <sheetData>
    <row r="1" spans="1:18" ht="51" customHeight="1" x14ac:dyDescent="0.25">
      <c r="A1" s="164" t="s">
        <v>161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3" spans="1:18" x14ac:dyDescent="0.2">
      <c r="A3" s="121"/>
      <c r="B3" s="119" t="s">
        <v>57</v>
      </c>
      <c r="C3" s="120" t="s">
        <v>129</v>
      </c>
      <c r="D3" s="119" t="s">
        <v>130</v>
      </c>
      <c r="E3" s="120" t="s">
        <v>131</v>
      </c>
      <c r="F3" s="119" t="s">
        <v>132</v>
      </c>
      <c r="G3" s="120" t="s">
        <v>133</v>
      </c>
      <c r="H3" s="119" t="s">
        <v>143</v>
      </c>
      <c r="I3" s="120" t="s">
        <v>144</v>
      </c>
      <c r="J3" s="119" t="s">
        <v>145</v>
      </c>
      <c r="K3" s="120" t="s">
        <v>146</v>
      </c>
      <c r="L3" s="119" t="s">
        <v>147</v>
      </c>
      <c r="M3" s="120" t="s">
        <v>148</v>
      </c>
      <c r="N3" s="119" t="s">
        <v>149</v>
      </c>
      <c r="O3" s="120" t="s">
        <v>150</v>
      </c>
    </row>
    <row r="4" spans="1:18" x14ac:dyDescent="0.2">
      <c r="A4" s="23"/>
      <c r="B4" s="89"/>
      <c r="C4" s="89"/>
      <c r="D4" s="89"/>
      <c r="E4" s="89"/>
      <c r="F4" s="89"/>
      <c r="G4" s="89"/>
      <c r="H4" s="89"/>
      <c r="I4" s="89"/>
      <c r="J4" s="89"/>
      <c r="K4" s="134"/>
      <c r="L4" s="134"/>
      <c r="M4" s="134"/>
      <c r="N4" s="134"/>
      <c r="O4" s="134"/>
    </row>
    <row r="5" spans="1:18" x14ac:dyDescent="0.2">
      <c r="A5" s="22" t="s">
        <v>69</v>
      </c>
      <c r="B5" s="91">
        <f>+SUM(B6:B10)</f>
        <v>94749128</v>
      </c>
      <c r="C5" s="91">
        <f t="shared" ref="C5:E5" si="0">+SUM(C6:C10)</f>
        <v>235497725.03999999</v>
      </c>
      <c r="D5" s="91">
        <f t="shared" si="0"/>
        <v>242562656.79120001</v>
      </c>
      <c r="E5" s="91">
        <f t="shared" si="0"/>
        <v>249839536.49493602</v>
      </c>
      <c r="F5" s="91">
        <f t="shared" ref="F5" si="1">+SUM(F6:F10)</f>
        <v>1255000000</v>
      </c>
      <c r="G5" s="91">
        <f t="shared" ref="G5" si="2">+SUM(G6:G10)</f>
        <v>1416000000</v>
      </c>
      <c r="H5" s="91">
        <f t="shared" ref="H5" si="3">+SUM(H6:H10)</f>
        <v>1614800000</v>
      </c>
      <c r="I5" s="91">
        <f t="shared" ref="I5" si="4">+SUM(I6:I10)</f>
        <v>1861200000</v>
      </c>
      <c r="J5" s="91">
        <f t="shared" ref="J5" si="5">+SUM(J6:J10)</f>
        <v>2167856000</v>
      </c>
      <c r="K5" s="91">
        <f t="shared" ref="K5" si="6">+SUM(K6:K10)</f>
        <v>2031209600</v>
      </c>
      <c r="L5" s="91">
        <f t="shared" ref="L5" si="7">+SUM(L6:L10)</f>
        <v>2512746880</v>
      </c>
      <c r="M5" s="91">
        <f t="shared" ref="M5" si="8">+SUM(M6:M10)</f>
        <v>3120709760</v>
      </c>
      <c r="N5" s="91">
        <f t="shared" ref="N5" si="9">+SUM(N6:N10)</f>
        <v>3892430617.5999999</v>
      </c>
      <c r="O5" s="91">
        <f t="shared" ref="O5" si="10">+SUM(O6:O10)</f>
        <v>4877527208.9599991</v>
      </c>
    </row>
    <row r="6" spans="1:18" x14ac:dyDescent="0.2">
      <c r="A6" s="25" t="s">
        <v>134</v>
      </c>
      <c r="B6" s="111"/>
      <c r="C6" s="111"/>
      <c r="D6" s="111"/>
      <c r="E6" s="111"/>
      <c r="F6" s="135">
        <f>2600000000/5</f>
        <v>520000000</v>
      </c>
      <c r="G6" s="135">
        <f t="shared" ref="G6:J6" si="11">2600000000/5</f>
        <v>520000000</v>
      </c>
      <c r="H6" s="135">
        <f t="shared" si="11"/>
        <v>520000000</v>
      </c>
      <c r="I6" s="135">
        <f t="shared" si="11"/>
        <v>520000000</v>
      </c>
      <c r="J6" s="135">
        <f t="shared" si="11"/>
        <v>520000000</v>
      </c>
      <c r="K6" s="135"/>
      <c r="L6" s="135"/>
      <c r="M6" s="135"/>
      <c r="N6" s="135"/>
      <c r="O6" s="135"/>
    </row>
    <row r="7" spans="1:18" x14ac:dyDescent="0.2">
      <c r="A7" s="23" t="s">
        <v>142</v>
      </c>
      <c r="B7" s="91">
        <v>94749128</v>
      </c>
      <c r="C7" s="91">
        <f>+'2.Estado de resultados'!E6*1.03</f>
        <v>235497725.03999999</v>
      </c>
      <c r="D7" s="91">
        <f>+C7*1.03</f>
        <v>242562656.79120001</v>
      </c>
      <c r="E7" s="91">
        <f>+D7*1.03</f>
        <v>249839536.49493602</v>
      </c>
      <c r="F7" s="136">
        <f>250000*28*50</f>
        <v>350000000</v>
      </c>
      <c r="G7" s="136">
        <f>+F7*1.2</f>
        <v>420000000</v>
      </c>
      <c r="H7" s="136">
        <f t="shared" ref="H7:K7" si="12">+G7*1.2</f>
        <v>504000000</v>
      </c>
      <c r="I7" s="136">
        <f t="shared" si="12"/>
        <v>604800000</v>
      </c>
      <c r="J7" s="136">
        <f t="shared" si="12"/>
        <v>725760000</v>
      </c>
      <c r="K7" s="136">
        <f t="shared" si="12"/>
        <v>870912000</v>
      </c>
      <c r="L7" s="136">
        <f t="shared" ref="L7:L9" si="13">+K7*1.2</f>
        <v>1045094400</v>
      </c>
      <c r="M7" s="136">
        <f t="shared" ref="M7:M9" si="14">+L7*1.2</f>
        <v>1254113280</v>
      </c>
      <c r="N7" s="136">
        <f t="shared" ref="N7:N9" si="15">+M7*1.2</f>
        <v>1504935936</v>
      </c>
      <c r="O7" s="136">
        <f t="shared" ref="O7:O9" si="16">+N7*1.2</f>
        <v>1805923123.2</v>
      </c>
      <c r="R7" s="127"/>
    </row>
    <row r="8" spans="1:18" x14ac:dyDescent="0.2">
      <c r="A8" s="18" t="s">
        <v>71</v>
      </c>
      <c r="B8" s="93">
        <v>0</v>
      </c>
      <c r="C8" s="93"/>
      <c r="D8" s="91">
        <f t="shared" ref="D8:E8" si="17">+C8*1.03</f>
        <v>0</v>
      </c>
      <c r="E8" s="91">
        <f t="shared" si="17"/>
        <v>0</v>
      </c>
      <c r="F8" s="135">
        <f>120000000+140000000</f>
        <v>260000000</v>
      </c>
      <c r="G8" s="135">
        <f>+F8*1.2</f>
        <v>312000000</v>
      </c>
      <c r="H8" s="135">
        <f t="shared" ref="H8:K8" si="18">+G8*1.2</f>
        <v>374400000</v>
      </c>
      <c r="I8" s="135">
        <f t="shared" si="18"/>
        <v>449280000</v>
      </c>
      <c r="J8" s="135">
        <f t="shared" si="18"/>
        <v>539136000</v>
      </c>
      <c r="K8" s="135">
        <f t="shared" si="18"/>
        <v>646963200</v>
      </c>
      <c r="L8" s="135">
        <f t="shared" si="13"/>
        <v>776355840</v>
      </c>
      <c r="M8" s="135">
        <f t="shared" si="14"/>
        <v>931627008</v>
      </c>
      <c r="N8" s="135">
        <f t="shared" si="15"/>
        <v>1117952409.5999999</v>
      </c>
      <c r="O8" s="135">
        <f t="shared" si="16"/>
        <v>1341542891.5199997</v>
      </c>
      <c r="P8" s="128"/>
      <c r="Q8" s="127"/>
    </row>
    <row r="9" spans="1:18" x14ac:dyDescent="0.2">
      <c r="A9" s="18" t="s">
        <v>135</v>
      </c>
      <c r="B9" s="93"/>
      <c r="C9" s="93"/>
      <c r="D9" s="91">
        <f t="shared" ref="D9:E9" si="19">+C9*1.03</f>
        <v>0</v>
      </c>
      <c r="E9" s="91">
        <f t="shared" si="19"/>
        <v>0</v>
      </c>
      <c r="F9" s="135">
        <v>55000000</v>
      </c>
      <c r="G9" s="135">
        <f>+F9*1.2</f>
        <v>66000000</v>
      </c>
      <c r="H9" s="135">
        <f t="shared" ref="H9:K9" si="20">+G9*1.2</f>
        <v>79200000</v>
      </c>
      <c r="I9" s="135">
        <f t="shared" si="20"/>
        <v>95040000</v>
      </c>
      <c r="J9" s="135">
        <f t="shared" si="20"/>
        <v>114048000</v>
      </c>
      <c r="K9" s="135">
        <f t="shared" si="20"/>
        <v>136857600</v>
      </c>
      <c r="L9" s="135">
        <f t="shared" si="13"/>
        <v>164229120</v>
      </c>
      <c r="M9" s="135">
        <f t="shared" si="14"/>
        <v>197074944</v>
      </c>
      <c r="N9" s="135">
        <f t="shared" si="15"/>
        <v>236489932.79999998</v>
      </c>
      <c r="O9" s="135">
        <f t="shared" si="16"/>
        <v>283787919.35999995</v>
      </c>
      <c r="P9" s="128"/>
      <c r="Q9" s="127"/>
    </row>
    <row r="10" spans="1:18" x14ac:dyDescent="0.2">
      <c r="A10" s="18" t="s">
        <v>136</v>
      </c>
      <c r="B10" s="93"/>
      <c r="C10" s="93"/>
      <c r="D10" s="91">
        <f t="shared" ref="D10:E10" si="21">+C10*1.03</f>
        <v>0</v>
      </c>
      <c r="E10" s="91">
        <f t="shared" si="21"/>
        <v>0</v>
      </c>
      <c r="F10" s="135">
        <f>35000000*2</f>
        <v>70000000</v>
      </c>
      <c r="G10" s="135">
        <f>+F10*1.4</f>
        <v>98000000</v>
      </c>
      <c r="H10" s="135">
        <f t="shared" ref="H10:K10" si="22">+G10*1.4</f>
        <v>137200000</v>
      </c>
      <c r="I10" s="135">
        <f t="shared" si="22"/>
        <v>192080000</v>
      </c>
      <c r="J10" s="135">
        <f t="shared" si="22"/>
        <v>268912000</v>
      </c>
      <c r="K10" s="135">
        <f t="shared" si="22"/>
        <v>376476800</v>
      </c>
      <c r="L10" s="135">
        <f t="shared" ref="L10" si="23">+K10*1.4</f>
        <v>527067519.99999994</v>
      </c>
      <c r="M10" s="135">
        <f t="shared" ref="M10" si="24">+L10*1.4</f>
        <v>737894527.99999988</v>
      </c>
      <c r="N10" s="135">
        <f t="shared" ref="N10" si="25">+M10*1.4</f>
        <v>1033052339.1999998</v>
      </c>
      <c r="O10" s="135">
        <f t="shared" ref="O10" si="26">+N10*1.4</f>
        <v>1446273274.8799996</v>
      </c>
      <c r="P10" s="128"/>
      <c r="Q10" s="127"/>
    </row>
    <row r="11" spans="1:18" x14ac:dyDescent="0.2">
      <c r="A11" s="22" t="s">
        <v>72</v>
      </c>
      <c r="B11" s="91"/>
      <c r="C11" s="91"/>
      <c r="D11" s="91">
        <f t="shared" ref="D11:E11" si="27">+C11*1.03</f>
        <v>0</v>
      </c>
      <c r="E11" s="91">
        <f t="shared" si="27"/>
        <v>0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128"/>
    </row>
    <row r="12" spans="1:18" x14ac:dyDescent="0.2">
      <c r="A12" s="22" t="s">
        <v>48</v>
      </c>
      <c r="B12" s="91"/>
      <c r="C12" s="91"/>
      <c r="D12" s="91">
        <f t="shared" ref="D12:E12" si="28">+C12*1.03</f>
        <v>0</v>
      </c>
      <c r="E12" s="91">
        <f t="shared" si="28"/>
        <v>0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8" x14ac:dyDescent="0.2">
      <c r="A13" s="23" t="s">
        <v>73</v>
      </c>
      <c r="B13" s="91">
        <v>65614518</v>
      </c>
      <c r="C13" s="91">
        <f>+B13*1.03</f>
        <v>67582953.540000007</v>
      </c>
      <c r="D13" s="91">
        <f t="shared" ref="D13:E13" si="29">+C13*1.03</f>
        <v>69610442.146200001</v>
      </c>
      <c r="E13" s="91">
        <f t="shared" si="29"/>
        <v>71698755.410585999</v>
      </c>
      <c r="F13" s="91">
        <v>552239640</v>
      </c>
      <c r="G13" s="91">
        <f>+F13*1.03</f>
        <v>568806829.20000005</v>
      </c>
      <c r="H13" s="91">
        <f t="shared" ref="H13:K15" si="30">+G13*1.03</f>
        <v>585871034.07600009</v>
      </c>
      <c r="I13" s="91">
        <f t="shared" si="30"/>
        <v>603447165.09828007</v>
      </c>
      <c r="J13" s="91">
        <f t="shared" si="30"/>
        <v>621550580.05122852</v>
      </c>
      <c r="K13" s="91">
        <f t="shared" si="30"/>
        <v>640197097.45276535</v>
      </c>
      <c r="L13" s="91">
        <f t="shared" ref="L13:L15" si="31">+K13*1.03</f>
        <v>659403010.37634838</v>
      </c>
      <c r="M13" s="91">
        <f t="shared" ref="M13:M15" si="32">+L13*1.03</f>
        <v>679185100.68763888</v>
      </c>
      <c r="N13" s="91">
        <f t="shared" ref="N13:N15" si="33">+M13*1.03</f>
        <v>699560653.70826805</v>
      </c>
      <c r="O13" s="91">
        <f t="shared" ref="O13:O15" si="34">+N13*1.03</f>
        <v>720547473.31951606</v>
      </c>
    </row>
    <row r="14" spans="1:18" s="48" customFormat="1" x14ac:dyDescent="0.2">
      <c r="A14" s="34" t="s">
        <v>114</v>
      </c>
      <c r="B14" s="111">
        <v>30934882.293333329</v>
      </c>
      <c r="C14" s="91">
        <f t="shared" ref="C14:E60" si="35">+B14*1.03</f>
        <v>31862928.76213333</v>
      </c>
      <c r="D14" s="91">
        <f t="shared" si="35"/>
        <v>32818816.624997333</v>
      </c>
      <c r="E14" s="91">
        <f t="shared" si="35"/>
        <v>33803381.123747252</v>
      </c>
      <c r="F14" s="111">
        <f>+B14*1.03</f>
        <v>31862928.76213333</v>
      </c>
      <c r="G14" s="111">
        <f t="shared" ref="G14" si="36">+F14*1.03</f>
        <v>32818816.624997333</v>
      </c>
      <c r="H14" s="111">
        <f t="shared" si="30"/>
        <v>33803381.123747252</v>
      </c>
      <c r="I14" s="111">
        <f t="shared" si="30"/>
        <v>34817482.557459667</v>
      </c>
      <c r="J14" s="111">
        <f t="shared" si="30"/>
        <v>35862007.034183457</v>
      </c>
      <c r="K14" s="111">
        <f t="shared" si="30"/>
        <v>36937867.245208964</v>
      </c>
      <c r="L14" s="111">
        <f t="shared" si="31"/>
        <v>38046003.262565233</v>
      </c>
      <c r="M14" s="111">
        <f t="shared" si="32"/>
        <v>39187383.360442191</v>
      </c>
      <c r="N14" s="111">
        <f t="shared" si="33"/>
        <v>40363004.861255459</v>
      </c>
      <c r="O14" s="111">
        <f t="shared" si="34"/>
        <v>41573895.007093124</v>
      </c>
    </row>
    <row r="15" spans="1:18" s="48" customFormat="1" x14ac:dyDescent="0.2">
      <c r="A15" s="34" t="s">
        <v>138</v>
      </c>
      <c r="B15" s="111">
        <v>41565696</v>
      </c>
      <c r="C15" s="91">
        <f t="shared" si="35"/>
        <v>42812666.880000003</v>
      </c>
      <c r="D15" s="91">
        <f t="shared" si="35"/>
        <v>44097046.886400007</v>
      </c>
      <c r="E15" s="91">
        <f t="shared" si="35"/>
        <v>45419958.292992011</v>
      </c>
      <c r="F15" s="111">
        <f>+B15*1.03</f>
        <v>42812666.880000003</v>
      </c>
      <c r="G15" s="111">
        <f t="shared" ref="G15" si="37">+F15*1.03</f>
        <v>44097046.886400007</v>
      </c>
      <c r="H15" s="111">
        <f t="shared" si="30"/>
        <v>45419958.292992011</v>
      </c>
      <c r="I15" s="111">
        <f t="shared" si="30"/>
        <v>46782557.041781776</v>
      </c>
      <c r="J15" s="111">
        <f t="shared" si="30"/>
        <v>48186033.753035232</v>
      </c>
      <c r="K15" s="111">
        <f t="shared" si="30"/>
        <v>49631614.765626289</v>
      </c>
      <c r="L15" s="111">
        <f t="shared" si="31"/>
        <v>51120563.208595082</v>
      </c>
      <c r="M15" s="111">
        <f t="shared" si="32"/>
        <v>52654180.104852937</v>
      </c>
      <c r="N15" s="111">
        <f t="shared" si="33"/>
        <v>54233805.507998526</v>
      </c>
      <c r="O15" s="111">
        <f t="shared" si="34"/>
        <v>55860819.673238486</v>
      </c>
    </row>
    <row r="16" spans="1:18" x14ac:dyDescent="0.2">
      <c r="A16" s="17" t="s">
        <v>74</v>
      </c>
      <c r="B16" s="95">
        <f>+B6+B7+B8+B9+B10-B13-B14-B15</f>
        <v>-43365968.293333329</v>
      </c>
      <c r="C16" s="95">
        <f t="shared" si="35"/>
        <v>-44666947.342133328</v>
      </c>
      <c r="D16" s="95">
        <f t="shared" si="35"/>
        <v>-46006955.762397327</v>
      </c>
      <c r="E16" s="95">
        <f t="shared" si="35"/>
        <v>-47387164.435269244</v>
      </c>
      <c r="F16" s="95">
        <f t="shared" ref="F16:J16" si="38">+F6+F7+F8+F9+F10-F13-F14-F15</f>
        <v>628084764.35786664</v>
      </c>
      <c r="G16" s="95">
        <f t="shared" si="38"/>
        <v>770277307.28860259</v>
      </c>
      <c r="H16" s="95">
        <f t="shared" si="38"/>
        <v>949705626.50726068</v>
      </c>
      <c r="I16" s="95">
        <f t="shared" si="38"/>
        <v>1176152795.3024788</v>
      </c>
      <c r="J16" s="95">
        <f t="shared" si="38"/>
        <v>1462257379.1615527</v>
      </c>
      <c r="K16" s="95">
        <f t="shared" ref="K16:O16" si="39">+K6+K7+K8+K9+K10-K13-K14-K15</f>
        <v>1304443020.5363994</v>
      </c>
      <c r="L16" s="95">
        <f t="shared" si="39"/>
        <v>1764177303.1524913</v>
      </c>
      <c r="M16" s="95">
        <f t="shared" si="39"/>
        <v>2349683095.8470659</v>
      </c>
      <c r="N16" s="95">
        <f t="shared" si="39"/>
        <v>3098273153.5224776</v>
      </c>
      <c r="O16" s="95">
        <f t="shared" si="39"/>
        <v>4059545020.9601517</v>
      </c>
    </row>
    <row r="17" spans="1:16" x14ac:dyDescent="0.2">
      <c r="A17" s="17" t="s">
        <v>72</v>
      </c>
      <c r="B17" s="91"/>
      <c r="C17" s="91">
        <f t="shared" si="35"/>
        <v>0</v>
      </c>
      <c r="D17" s="91">
        <f t="shared" si="35"/>
        <v>0</v>
      </c>
      <c r="E17" s="91">
        <f t="shared" si="35"/>
        <v>0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1:16" x14ac:dyDescent="0.2">
      <c r="A18" s="17" t="s">
        <v>75</v>
      </c>
      <c r="B18" s="91"/>
      <c r="C18" s="91">
        <f t="shared" si="35"/>
        <v>0</v>
      </c>
      <c r="D18" s="91">
        <f t="shared" si="35"/>
        <v>0</v>
      </c>
      <c r="E18" s="91">
        <f t="shared" si="35"/>
        <v>0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48"/>
    </row>
    <row r="19" spans="1:16" x14ac:dyDescent="0.2">
      <c r="A19" s="5" t="s">
        <v>101</v>
      </c>
      <c r="B19" s="91">
        <v>26821412</v>
      </c>
      <c r="C19" s="91">
        <f t="shared" si="35"/>
        <v>27626054.359999999</v>
      </c>
      <c r="D19" s="91">
        <f t="shared" si="35"/>
        <v>28454835.990800001</v>
      </c>
      <c r="E19" s="91">
        <f t="shared" si="35"/>
        <v>29308481.070524003</v>
      </c>
      <c r="F19" s="136">
        <f>0.3*260400000</f>
        <v>78120000</v>
      </c>
      <c r="G19" s="136">
        <f t="shared" ref="G19:K19" si="40">+F19*1.03</f>
        <v>80463600</v>
      </c>
      <c r="H19" s="136">
        <f t="shared" si="40"/>
        <v>82877508</v>
      </c>
      <c r="I19" s="136">
        <f t="shared" si="40"/>
        <v>85363833.24000001</v>
      </c>
      <c r="J19" s="136">
        <f t="shared" si="40"/>
        <v>87924748.237200007</v>
      </c>
      <c r="K19" s="136">
        <f t="shared" si="40"/>
        <v>90562490.684316009</v>
      </c>
      <c r="L19" s="136">
        <f t="shared" ref="L19" si="41">+K19*1.03</f>
        <v>93279365.404845491</v>
      </c>
      <c r="M19" s="136">
        <f t="shared" ref="M19" si="42">+L19*1.03</f>
        <v>96077746.366990864</v>
      </c>
      <c r="N19" s="136">
        <f t="shared" ref="N19" si="43">+M19*1.03</f>
        <v>98960078.758000597</v>
      </c>
      <c r="O19" s="136">
        <f t="shared" ref="O19" si="44">+N19*1.03</f>
        <v>101928881.12074062</v>
      </c>
    </row>
    <row r="20" spans="1:16" x14ac:dyDescent="0.2">
      <c r="A20" s="5" t="s">
        <v>137</v>
      </c>
      <c r="B20" s="91"/>
      <c r="C20" s="91">
        <f t="shared" si="35"/>
        <v>0</v>
      </c>
      <c r="D20" s="91">
        <f t="shared" si="35"/>
        <v>0</v>
      </c>
      <c r="E20" s="91">
        <f t="shared" si="35"/>
        <v>0</v>
      </c>
      <c r="F20" s="136">
        <f>(0.3*85000000)/3</f>
        <v>8500000</v>
      </c>
      <c r="G20" s="136">
        <f>(0.3*85000000)/3</f>
        <v>8500000</v>
      </c>
      <c r="H20" s="136">
        <f>(0.3*85000000)/3</f>
        <v>8500000</v>
      </c>
      <c r="I20" s="136"/>
      <c r="J20" s="136"/>
      <c r="K20" s="136"/>
      <c r="L20" s="136"/>
      <c r="M20" s="136"/>
      <c r="N20" s="136"/>
      <c r="O20" s="136"/>
    </row>
    <row r="21" spans="1:16" x14ac:dyDescent="0.2">
      <c r="A21" s="5" t="s">
        <v>141</v>
      </c>
      <c r="B21" s="91"/>
      <c r="C21" s="91">
        <f t="shared" si="35"/>
        <v>0</v>
      </c>
      <c r="D21" s="91">
        <f t="shared" si="35"/>
        <v>0</v>
      </c>
      <c r="E21" s="91">
        <f t="shared" si="35"/>
        <v>0</v>
      </c>
      <c r="F21" s="136">
        <f>856756000/5</f>
        <v>171351200</v>
      </c>
      <c r="G21" s="136">
        <f t="shared" ref="G21:J21" si="45">856756000/5</f>
        <v>171351200</v>
      </c>
      <c r="H21" s="136">
        <f t="shared" si="45"/>
        <v>171351200</v>
      </c>
      <c r="I21" s="136">
        <f t="shared" si="45"/>
        <v>171351200</v>
      </c>
      <c r="J21" s="136">
        <f t="shared" si="45"/>
        <v>171351200</v>
      </c>
      <c r="K21" s="136"/>
      <c r="L21" s="136"/>
      <c r="M21" s="136"/>
      <c r="N21" s="136"/>
      <c r="O21" s="136"/>
    </row>
    <row r="22" spans="1:16" x14ac:dyDescent="0.2">
      <c r="A22" s="18" t="s">
        <v>76</v>
      </c>
      <c r="B22" s="93"/>
      <c r="C22" s="91">
        <f t="shared" si="35"/>
        <v>0</v>
      </c>
      <c r="D22" s="91">
        <f t="shared" si="35"/>
        <v>0</v>
      </c>
      <c r="E22" s="91">
        <f t="shared" si="35"/>
        <v>0</v>
      </c>
      <c r="F22" s="91">
        <f t="shared" ref="F22:F35" si="46">+B22*1.03</f>
        <v>0</v>
      </c>
      <c r="G22" s="91">
        <f t="shared" ref="G22:K35" si="47">+F22*1.03</f>
        <v>0</v>
      </c>
      <c r="H22" s="91">
        <f t="shared" si="47"/>
        <v>0</v>
      </c>
      <c r="I22" s="91">
        <f t="shared" si="47"/>
        <v>0</v>
      </c>
      <c r="J22" s="91">
        <f t="shared" si="47"/>
        <v>0</v>
      </c>
      <c r="K22" s="91">
        <f t="shared" si="47"/>
        <v>0</v>
      </c>
      <c r="L22" s="91">
        <f t="shared" ref="L22:L35" si="48">+K22*1.03</f>
        <v>0</v>
      </c>
      <c r="M22" s="91">
        <f t="shared" ref="M22:M35" si="49">+L22*1.03</f>
        <v>0</v>
      </c>
      <c r="N22" s="91">
        <f t="shared" ref="N22:N35" si="50">+M22*1.03</f>
        <v>0</v>
      </c>
      <c r="O22" s="91">
        <f t="shared" ref="O22:O35" si="51">+N22*1.03</f>
        <v>0</v>
      </c>
    </row>
    <row r="23" spans="1:16" x14ac:dyDescent="0.2">
      <c r="A23" s="23" t="s">
        <v>77</v>
      </c>
      <c r="B23" s="91">
        <v>111600000</v>
      </c>
      <c r="C23" s="91">
        <f t="shared" si="35"/>
        <v>114948000</v>
      </c>
      <c r="D23" s="91">
        <f t="shared" si="35"/>
        <v>118396440</v>
      </c>
      <c r="E23" s="91">
        <f t="shared" si="35"/>
        <v>121948333.2</v>
      </c>
      <c r="F23" s="91">
        <f t="shared" si="46"/>
        <v>114948000</v>
      </c>
      <c r="G23" s="91">
        <f t="shared" si="47"/>
        <v>118396440</v>
      </c>
      <c r="H23" s="91">
        <f t="shared" si="47"/>
        <v>121948333.2</v>
      </c>
      <c r="I23" s="91">
        <f t="shared" si="47"/>
        <v>125606783.19600001</v>
      </c>
      <c r="J23" s="91">
        <f t="shared" si="47"/>
        <v>129374986.69188002</v>
      </c>
      <c r="K23" s="91">
        <f t="shared" si="47"/>
        <v>133256236.29263642</v>
      </c>
      <c r="L23" s="91">
        <f t="shared" si="48"/>
        <v>137253923.38141552</v>
      </c>
      <c r="M23" s="91">
        <f t="shared" si="49"/>
        <v>141371541.082858</v>
      </c>
      <c r="N23" s="91">
        <f t="shared" si="50"/>
        <v>145612687.31534374</v>
      </c>
      <c r="O23" s="91">
        <f t="shared" si="51"/>
        <v>149981067.93480405</v>
      </c>
    </row>
    <row r="24" spans="1:16" x14ac:dyDescent="0.2">
      <c r="A24" s="23" t="s">
        <v>78</v>
      </c>
      <c r="B24" s="91">
        <v>148231013</v>
      </c>
      <c r="C24" s="91">
        <f t="shared" si="35"/>
        <v>152677943.39000002</v>
      </c>
      <c r="D24" s="91">
        <f t="shared" si="35"/>
        <v>157258281.69170001</v>
      </c>
      <c r="E24" s="91">
        <f t="shared" si="35"/>
        <v>161976030.14245102</v>
      </c>
      <c r="F24" s="91">
        <f t="shared" si="46"/>
        <v>152677943.39000002</v>
      </c>
      <c r="G24" s="91">
        <f t="shared" si="47"/>
        <v>157258281.69170001</v>
      </c>
      <c r="H24" s="91">
        <f t="shared" si="47"/>
        <v>161976030.14245102</v>
      </c>
      <c r="I24" s="91">
        <f t="shared" si="47"/>
        <v>166835311.04672456</v>
      </c>
      <c r="J24" s="91">
        <f t="shared" si="47"/>
        <v>171840370.37812629</v>
      </c>
      <c r="K24" s="91">
        <f t="shared" si="47"/>
        <v>176995581.48947009</v>
      </c>
      <c r="L24" s="91">
        <f t="shared" si="48"/>
        <v>182305448.93415421</v>
      </c>
      <c r="M24" s="91">
        <f t="shared" si="49"/>
        <v>187774612.40217885</v>
      </c>
      <c r="N24" s="91">
        <f t="shared" si="50"/>
        <v>193407850.77424422</v>
      </c>
      <c r="O24" s="91">
        <f t="shared" si="51"/>
        <v>199210086.29747155</v>
      </c>
    </row>
    <row r="25" spans="1:16" x14ac:dyDescent="0.2">
      <c r="A25" s="96" t="s">
        <v>79</v>
      </c>
      <c r="B25" s="91">
        <v>0</v>
      </c>
      <c r="C25" s="91">
        <f t="shared" si="35"/>
        <v>0</v>
      </c>
      <c r="D25" s="91">
        <f t="shared" si="35"/>
        <v>0</v>
      </c>
      <c r="E25" s="91">
        <f t="shared" si="35"/>
        <v>0</v>
      </c>
      <c r="F25" s="91">
        <f t="shared" si="46"/>
        <v>0</v>
      </c>
      <c r="G25" s="91">
        <f t="shared" si="47"/>
        <v>0</v>
      </c>
      <c r="H25" s="91">
        <f t="shared" si="47"/>
        <v>0</v>
      </c>
      <c r="I25" s="91">
        <f t="shared" si="47"/>
        <v>0</v>
      </c>
      <c r="J25" s="91">
        <f t="shared" si="47"/>
        <v>0</v>
      </c>
      <c r="K25" s="91">
        <f t="shared" si="47"/>
        <v>0</v>
      </c>
      <c r="L25" s="91">
        <f t="shared" si="48"/>
        <v>0</v>
      </c>
      <c r="M25" s="91">
        <f t="shared" si="49"/>
        <v>0</v>
      </c>
      <c r="N25" s="91">
        <f t="shared" si="50"/>
        <v>0</v>
      </c>
      <c r="O25" s="91">
        <f t="shared" si="51"/>
        <v>0</v>
      </c>
    </row>
    <row r="26" spans="1:16" x14ac:dyDescent="0.2">
      <c r="A26" s="18" t="s">
        <v>80</v>
      </c>
      <c r="B26" s="91">
        <v>0</v>
      </c>
      <c r="C26" s="91">
        <f t="shared" si="35"/>
        <v>0</v>
      </c>
      <c r="D26" s="91">
        <f t="shared" si="35"/>
        <v>0</v>
      </c>
      <c r="E26" s="91">
        <f t="shared" si="35"/>
        <v>0</v>
      </c>
      <c r="F26" s="91">
        <f t="shared" si="46"/>
        <v>0</v>
      </c>
      <c r="G26" s="91">
        <f t="shared" si="47"/>
        <v>0</v>
      </c>
      <c r="H26" s="91">
        <f t="shared" si="47"/>
        <v>0</v>
      </c>
      <c r="I26" s="91">
        <f t="shared" si="47"/>
        <v>0</v>
      </c>
      <c r="J26" s="91">
        <f t="shared" si="47"/>
        <v>0</v>
      </c>
      <c r="K26" s="91">
        <f t="shared" si="47"/>
        <v>0</v>
      </c>
      <c r="L26" s="91">
        <f t="shared" si="48"/>
        <v>0</v>
      </c>
      <c r="M26" s="91">
        <f t="shared" si="49"/>
        <v>0</v>
      </c>
      <c r="N26" s="91">
        <f t="shared" si="50"/>
        <v>0</v>
      </c>
      <c r="O26" s="91">
        <f t="shared" si="51"/>
        <v>0</v>
      </c>
    </row>
    <row r="27" spans="1:16" x14ac:dyDescent="0.2">
      <c r="A27" s="18" t="s">
        <v>81</v>
      </c>
      <c r="B27" s="91">
        <v>0</v>
      </c>
      <c r="C27" s="91">
        <f t="shared" si="35"/>
        <v>0</v>
      </c>
      <c r="D27" s="91">
        <f t="shared" si="35"/>
        <v>0</v>
      </c>
      <c r="E27" s="91">
        <f t="shared" si="35"/>
        <v>0</v>
      </c>
      <c r="F27" s="91">
        <f t="shared" si="46"/>
        <v>0</v>
      </c>
      <c r="G27" s="91">
        <f t="shared" si="47"/>
        <v>0</v>
      </c>
      <c r="H27" s="91">
        <f t="shared" si="47"/>
        <v>0</v>
      </c>
      <c r="I27" s="91">
        <f t="shared" si="47"/>
        <v>0</v>
      </c>
      <c r="J27" s="91">
        <f t="shared" si="47"/>
        <v>0</v>
      </c>
      <c r="K27" s="91">
        <f t="shared" si="47"/>
        <v>0</v>
      </c>
      <c r="L27" s="91">
        <f t="shared" si="48"/>
        <v>0</v>
      </c>
      <c r="M27" s="91">
        <f t="shared" si="49"/>
        <v>0</v>
      </c>
      <c r="N27" s="91">
        <f t="shared" si="50"/>
        <v>0</v>
      </c>
      <c r="O27" s="91">
        <f t="shared" si="51"/>
        <v>0</v>
      </c>
    </row>
    <row r="28" spans="1:16" x14ac:dyDescent="0.2">
      <c r="A28" s="18" t="s">
        <v>82</v>
      </c>
      <c r="B28" s="91">
        <v>0</v>
      </c>
      <c r="C28" s="91">
        <f t="shared" si="35"/>
        <v>0</v>
      </c>
      <c r="D28" s="91">
        <f t="shared" si="35"/>
        <v>0</v>
      </c>
      <c r="E28" s="91">
        <f t="shared" si="35"/>
        <v>0</v>
      </c>
      <c r="F28" s="91">
        <f t="shared" si="46"/>
        <v>0</v>
      </c>
      <c r="G28" s="91">
        <f t="shared" si="47"/>
        <v>0</v>
      </c>
      <c r="H28" s="91">
        <f t="shared" si="47"/>
        <v>0</v>
      </c>
      <c r="I28" s="91">
        <f t="shared" si="47"/>
        <v>0</v>
      </c>
      <c r="J28" s="91">
        <f t="shared" si="47"/>
        <v>0</v>
      </c>
      <c r="K28" s="91">
        <f t="shared" si="47"/>
        <v>0</v>
      </c>
      <c r="L28" s="91">
        <f t="shared" si="48"/>
        <v>0</v>
      </c>
      <c r="M28" s="91">
        <f t="shared" si="49"/>
        <v>0</v>
      </c>
      <c r="N28" s="91">
        <f t="shared" si="50"/>
        <v>0</v>
      </c>
      <c r="O28" s="91">
        <f t="shared" si="51"/>
        <v>0</v>
      </c>
    </row>
    <row r="29" spans="1:16" x14ac:dyDescent="0.2">
      <c r="A29" s="18" t="s">
        <v>83</v>
      </c>
      <c r="B29" s="91">
        <v>0</v>
      </c>
      <c r="C29" s="91">
        <f t="shared" si="35"/>
        <v>0</v>
      </c>
      <c r="D29" s="91">
        <f t="shared" si="35"/>
        <v>0</v>
      </c>
      <c r="E29" s="91">
        <f t="shared" si="35"/>
        <v>0</v>
      </c>
      <c r="F29" s="91">
        <f t="shared" si="46"/>
        <v>0</v>
      </c>
      <c r="G29" s="91">
        <f t="shared" si="47"/>
        <v>0</v>
      </c>
      <c r="H29" s="91">
        <f t="shared" si="47"/>
        <v>0</v>
      </c>
      <c r="I29" s="91">
        <f t="shared" si="47"/>
        <v>0</v>
      </c>
      <c r="J29" s="91">
        <f t="shared" si="47"/>
        <v>0</v>
      </c>
      <c r="K29" s="91">
        <f t="shared" si="47"/>
        <v>0</v>
      </c>
      <c r="L29" s="91">
        <f t="shared" si="48"/>
        <v>0</v>
      </c>
      <c r="M29" s="91">
        <f t="shared" si="49"/>
        <v>0</v>
      </c>
      <c r="N29" s="91">
        <f t="shared" si="50"/>
        <v>0</v>
      </c>
      <c r="O29" s="91">
        <f t="shared" si="51"/>
        <v>0</v>
      </c>
    </row>
    <row r="30" spans="1:16" x14ac:dyDescent="0.2">
      <c r="A30" s="18" t="s">
        <v>84</v>
      </c>
      <c r="B30" s="91">
        <v>0</v>
      </c>
      <c r="C30" s="91">
        <f t="shared" si="35"/>
        <v>0</v>
      </c>
      <c r="D30" s="91">
        <f t="shared" si="35"/>
        <v>0</v>
      </c>
      <c r="E30" s="91">
        <f t="shared" si="35"/>
        <v>0</v>
      </c>
      <c r="F30" s="91">
        <f t="shared" si="46"/>
        <v>0</v>
      </c>
      <c r="G30" s="91">
        <f t="shared" si="47"/>
        <v>0</v>
      </c>
      <c r="H30" s="91">
        <f t="shared" si="47"/>
        <v>0</v>
      </c>
      <c r="I30" s="91">
        <f t="shared" si="47"/>
        <v>0</v>
      </c>
      <c r="J30" s="91">
        <f t="shared" si="47"/>
        <v>0</v>
      </c>
      <c r="K30" s="91">
        <f t="shared" si="47"/>
        <v>0</v>
      </c>
      <c r="L30" s="91">
        <f t="shared" si="48"/>
        <v>0</v>
      </c>
      <c r="M30" s="91">
        <f t="shared" si="49"/>
        <v>0</v>
      </c>
      <c r="N30" s="91">
        <f t="shared" si="50"/>
        <v>0</v>
      </c>
      <c r="O30" s="91">
        <f t="shared" si="51"/>
        <v>0</v>
      </c>
    </row>
    <row r="31" spans="1:16" x14ac:dyDescent="0.2">
      <c r="A31" s="23" t="s">
        <v>85</v>
      </c>
      <c r="B31" s="91">
        <v>1126950</v>
      </c>
      <c r="C31" s="91">
        <f t="shared" si="35"/>
        <v>1160758.5</v>
      </c>
      <c r="D31" s="91">
        <f t="shared" si="35"/>
        <v>1195581.2550000001</v>
      </c>
      <c r="E31" s="91">
        <f t="shared" si="35"/>
        <v>1231448.6926500001</v>
      </c>
      <c r="F31" s="91">
        <f t="shared" si="46"/>
        <v>1160758.5</v>
      </c>
      <c r="G31" s="91">
        <f t="shared" si="47"/>
        <v>1195581.2550000001</v>
      </c>
      <c r="H31" s="91">
        <f t="shared" si="47"/>
        <v>1231448.6926500001</v>
      </c>
      <c r="I31" s="91">
        <f t="shared" si="47"/>
        <v>1268392.1534295001</v>
      </c>
      <c r="J31" s="91">
        <f t="shared" si="47"/>
        <v>1306443.9180323852</v>
      </c>
      <c r="K31" s="91">
        <f t="shared" si="47"/>
        <v>1345637.2355733567</v>
      </c>
      <c r="L31" s="91">
        <f t="shared" si="48"/>
        <v>1386006.3526405576</v>
      </c>
      <c r="M31" s="91">
        <f t="shared" si="49"/>
        <v>1427586.5432197743</v>
      </c>
      <c r="N31" s="91">
        <f t="shared" si="50"/>
        <v>1470414.1395163676</v>
      </c>
      <c r="O31" s="91">
        <f t="shared" si="51"/>
        <v>1514526.5637018587</v>
      </c>
    </row>
    <row r="32" spans="1:16" x14ac:dyDescent="0.2">
      <c r="A32" s="23" t="s">
        <v>80</v>
      </c>
      <c r="B32" s="90">
        <v>34401757</v>
      </c>
      <c r="C32" s="91">
        <f t="shared" si="35"/>
        <v>35433809.710000001</v>
      </c>
      <c r="D32" s="91">
        <f t="shared" si="35"/>
        <v>36496824.0013</v>
      </c>
      <c r="E32" s="91">
        <f t="shared" si="35"/>
        <v>37591728.721339002</v>
      </c>
      <c r="F32" s="91">
        <f t="shared" si="46"/>
        <v>35433809.710000001</v>
      </c>
      <c r="G32" s="91">
        <f t="shared" si="47"/>
        <v>36496824.0013</v>
      </c>
      <c r="H32" s="91">
        <f t="shared" si="47"/>
        <v>37591728.721339002</v>
      </c>
      <c r="I32" s="91">
        <f t="shared" si="47"/>
        <v>38719480.582979172</v>
      </c>
      <c r="J32" s="91">
        <f t="shared" si="47"/>
        <v>39881065.000468552</v>
      </c>
      <c r="K32" s="91">
        <f t="shared" si="47"/>
        <v>41077496.950482607</v>
      </c>
      <c r="L32" s="91">
        <f t="shared" si="48"/>
        <v>42309821.858997084</v>
      </c>
      <c r="M32" s="91">
        <f t="shared" si="49"/>
        <v>43579116.514766999</v>
      </c>
      <c r="N32" s="91">
        <f t="shared" si="50"/>
        <v>44886490.010210007</v>
      </c>
      <c r="O32" s="91">
        <f t="shared" si="51"/>
        <v>46233084.710516311</v>
      </c>
    </row>
    <row r="33" spans="1:15" x14ac:dyDescent="0.2">
      <c r="A33" s="5" t="s">
        <v>81</v>
      </c>
      <c r="B33" s="91">
        <v>3989500</v>
      </c>
      <c r="C33" s="91">
        <f t="shared" si="35"/>
        <v>4109185</v>
      </c>
      <c r="D33" s="91">
        <f t="shared" si="35"/>
        <v>4232460.55</v>
      </c>
      <c r="E33" s="91">
        <f t="shared" si="35"/>
        <v>4359434.3664999995</v>
      </c>
      <c r="F33" s="91">
        <f t="shared" si="46"/>
        <v>4109185</v>
      </c>
      <c r="G33" s="91">
        <f t="shared" si="47"/>
        <v>4232460.55</v>
      </c>
      <c r="H33" s="91">
        <f t="shared" si="47"/>
        <v>4359434.3664999995</v>
      </c>
      <c r="I33" s="91">
        <f t="shared" si="47"/>
        <v>4490217.3974949997</v>
      </c>
      <c r="J33" s="91">
        <f t="shared" si="47"/>
        <v>4624923.9194198502</v>
      </c>
      <c r="K33" s="91">
        <f t="shared" si="47"/>
        <v>4763671.6370024458</v>
      </c>
      <c r="L33" s="91">
        <f t="shared" si="48"/>
        <v>4906581.786112519</v>
      </c>
      <c r="M33" s="91">
        <f t="shared" si="49"/>
        <v>5053779.2396958945</v>
      </c>
      <c r="N33" s="91">
        <f t="shared" si="50"/>
        <v>5205392.6168867713</v>
      </c>
      <c r="O33" s="91">
        <f t="shared" si="51"/>
        <v>5361554.3953933744</v>
      </c>
    </row>
    <row r="34" spans="1:15" x14ac:dyDescent="0.2">
      <c r="A34" s="5" t="s">
        <v>82</v>
      </c>
      <c r="B34" s="91">
        <f>+'[2]ERI2019-2018 (4)'!$C$34</f>
        <v>9635500</v>
      </c>
      <c r="C34" s="91">
        <f t="shared" si="35"/>
        <v>9924565</v>
      </c>
      <c r="D34" s="91">
        <f t="shared" si="35"/>
        <v>10222301.950000001</v>
      </c>
      <c r="E34" s="91">
        <f t="shared" si="35"/>
        <v>10528971.008500002</v>
      </c>
      <c r="F34" s="91">
        <f t="shared" si="46"/>
        <v>9924565</v>
      </c>
      <c r="G34" s="91">
        <f t="shared" si="47"/>
        <v>10222301.950000001</v>
      </c>
      <c r="H34" s="91">
        <f t="shared" si="47"/>
        <v>10528971.008500002</v>
      </c>
      <c r="I34" s="91">
        <f t="shared" si="47"/>
        <v>10844840.138755003</v>
      </c>
      <c r="J34" s="91">
        <f t="shared" si="47"/>
        <v>11170185.342917653</v>
      </c>
      <c r="K34" s="91">
        <f t="shared" si="47"/>
        <v>11505290.903205182</v>
      </c>
      <c r="L34" s="91">
        <f t="shared" si="48"/>
        <v>11850449.630301338</v>
      </c>
      <c r="M34" s="91">
        <f t="shared" si="49"/>
        <v>12205963.119210377</v>
      </c>
      <c r="N34" s="91">
        <f t="shared" si="50"/>
        <v>12572142.012786688</v>
      </c>
      <c r="O34" s="91">
        <f t="shared" si="51"/>
        <v>12949306.273170289</v>
      </c>
    </row>
    <row r="35" spans="1:15" x14ac:dyDescent="0.2">
      <c r="A35" s="5" t="s">
        <v>86</v>
      </c>
      <c r="B35" s="91">
        <v>37375338</v>
      </c>
      <c r="C35" s="91">
        <f t="shared" si="35"/>
        <v>38496598.140000001</v>
      </c>
      <c r="D35" s="91">
        <f t="shared" si="35"/>
        <v>39651496.084200002</v>
      </c>
      <c r="E35" s="91">
        <f t="shared" si="35"/>
        <v>40841040.966726005</v>
      </c>
      <c r="F35" s="91">
        <f t="shared" si="46"/>
        <v>38496598.140000001</v>
      </c>
      <c r="G35" s="91">
        <f t="shared" si="47"/>
        <v>39651496.084200002</v>
      </c>
      <c r="H35" s="91">
        <f t="shared" si="47"/>
        <v>40841040.966726005</v>
      </c>
      <c r="I35" s="91">
        <f t="shared" si="47"/>
        <v>42066272.195727788</v>
      </c>
      <c r="J35" s="91">
        <f t="shared" si="47"/>
        <v>43328260.361599624</v>
      </c>
      <c r="K35" s="91">
        <f t="shared" si="47"/>
        <v>44628108.172447614</v>
      </c>
      <c r="L35" s="91">
        <f t="shared" si="48"/>
        <v>45966951.417621046</v>
      </c>
      <c r="M35" s="91">
        <f t="shared" si="49"/>
        <v>47345959.960149676</v>
      </c>
      <c r="N35" s="91">
        <f t="shared" si="50"/>
        <v>48766338.758954167</v>
      </c>
      <c r="O35" s="91">
        <f t="shared" si="51"/>
        <v>50229328.921722792</v>
      </c>
    </row>
    <row r="36" spans="1:15" x14ac:dyDescent="0.2">
      <c r="A36" s="5"/>
      <c r="B36" s="91"/>
      <c r="C36" s="91">
        <f t="shared" si="35"/>
        <v>0</v>
      </c>
      <c r="D36" s="91">
        <f t="shared" si="35"/>
        <v>0</v>
      </c>
      <c r="E36" s="91">
        <f t="shared" si="35"/>
        <v>0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</row>
    <row r="37" spans="1:15" x14ac:dyDescent="0.2">
      <c r="A37" s="12" t="s">
        <v>87</v>
      </c>
      <c r="B37" s="95">
        <f>SUM(B18:B36)</f>
        <v>373181470</v>
      </c>
      <c r="C37" s="95">
        <f t="shared" si="35"/>
        <v>384376914.10000002</v>
      </c>
      <c r="D37" s="95">
        <f t="shared" si="35"/>
        <v>395908221.52300006</v>
      </c>
      <c r="E37" s="95">
        <f t="shared" si="35"/>
        <v>407785468.16869009</v>
      </c>
      <c r="F37" s="95">
        <f>SUM(F19:F36)</f>
        <v>614722059.74000001</v>
      </c>
      <c r="G37" s="95">
        <f t="shared" ref="G37:J37" si="52">SUM(G19:G36)</f>
        <v>627768185.53219998</v>
      </c>
      <c r="H37" s="95">
        <f t="shared" si="52"/>
        <v>641205695.09816599</v>
      </c>
      <c r="I37" s="95">
        <f t="shared" si="52"/>
        <v>646546329.95111108</v>
      </c>
      <c r="J37" s="95">
        <f t="shared" si="52"/>
        <v>660802183.84964442</v>
      </c>
      <c r="K37" s="95">
        <f t="shared" ref="K37:O37" si="53">SUM(K19:K36)</f>
        <v>504134513.36513376</v>
      </c>
      <c r="L37" s="95">
        <f t="shared" si="53"/>
        <v>519258548.76608789</v>
      </c>
      <c r="M37" s="95">
        <f t="shared" si="53"/>
        <v>534836305.22907043</v>
      </c>
      <c r="N37" s="95">
        <f t="shared" si="53"/>
        <v>550881394.38594258</v>
      </c>
      <c r="O37" s="95">
        <f t="shared" si="53"/>
        <v>567407836.21752095</v>
      </c>
    </row>
    <row r="38" spans="1:15" x14ac:dyDescent="0.2">
      <c r="A38" s="12"/>
      <c r="B38" s="95"/>
      <c r="C38" s="91">
        <f t="shared" si="35"/>
        <v>0</v>
      </c>
      <c r="D38" s="91">
        <f t="shared" si="35"/>
        <v>0</v>
      </c>
      <c r="E38" s="91">
        <f t="shared" si="35"/>
        <v>0</v>
      </c>
      <c r="F38" s="95"/>
      <c r="G38" s="95"/>
      <c r="H38" s="95"/>
      <c r="I38" s="95"/>
      <c r="J38" s="95"/>
      <c r="K38" s="95"/>
      <c r="L38" s="95"/>
      <c r="M38" s="95"/>
      <c r="N38" s="95"/>
      <c r="O38" s="95"/>
    </row>
    <row r="39" spans="1:15" x14ac:dyDescent="0.2">
      <c r="A39" s="12" t="s">
        <v>88</v>
      </c>
      <c r="B39" s="95">
        <f>+B16-B37</f>
        <v>-416547438.29333335</v>
      </c>
      <c r="C39" s="95">
        <f t="shared" si="35"/>
        <v>-429043861.44213337</v>
      </c>
      <c r="D39" s="95">
        <f t="shared" si="35"/>
        <v>-441915177.28539735</v>
      </c>
      <c r="E39" s="95">
        <f t="shared" si="35"/>
        <v>-455172632.60395926</v>
      </c>
      <c r="F39" s="95">
        <f t="shared" ref="F39:J39" si="54">+F16-F37</f>
        <v>13362704.617866635</v>
      </c>
      <c r="G39" s="95">
        <f t="shared" si="54"/>
        <v>142509121.75640261</v>
      </c>
      <c r="H39" s="95">
        <f t="shared" si="54"/>
        <v>308499931.40909469</v>
      </c>
      <c r="I39" s="95">
        <f t="shared" si="54"/>
        <v>529606465.35136771</v>
      </c>
      <c r="J39" s="95">
        <f t="shared" si="54"/>
        <v>801455195.31190825</v>
      </c>
      <c r="K39" s="95">
        <f t="shared" ref="K39:O39" si="55">+K16-K37</f>
        <v>800308507.1712656</v>
      </c>
      <c r="L39" s="95">
        <f t="shared" si="55"/>
        <v>1244918754.3864036</v>
      </c>
      <c r="M39" s="95">
        <f t="shared" si="55"/>
        <v>1814846790.6179955</v>
      </c>
      <c r="N39" s="95">
        <f t="shared" si="55"/>
        <v>2547391759.1365352</v>
      </c>
      <c r="O39" s="95">
        <f t="shared" si="55"/>
        <v>3492137184.742631</v>
      </c>
    </row>
    <row r="40" spans="1:15" x14ac:dyDescent="0.2">
      <c r="A40" s="12"/>
      <c r="B40" s="91"/>
      <c r="C40" s="91">
        <f t="shared" si="35"/>
        <v>0</v>
      </c>
      <c r="D40" s="91">
        <f t="shared" si="35"/>
        <v>0</v>
      </c>
      <c r="E40" s="91">
        <f t="shared" si="35"/>
        <v>0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</row>
    <row r="41" spans="1:15" x14ac:dyDescent="0.2">
      <c r="A41" s="12" t="s">
        <v>89</v>
      </c>
      <c r="B41" s="91"/>
      <c r="C41" s="91">
        <f t="shared" si="35"/>
        <v>0</v>
      </c>
      <c r="D41" s="91">
        <f t="shared" si="35"/>
        <v>0</v>
      </c>
      <c r="E41" s="91">
        <f t="shared" si="35"/>
        <v>0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</row>
    <row r="42" spans="1:15" x14ac:dyDescent="0.2">
      <c r="A42" s="5" t="s">
        <v>90</v>
      </c>
      <c r="B42" s="91">
        <v>84223551</v>
      </c>
      <c r="C42" s="91">
        <f t="shared" si="35"/>
        <v>86750257.530000001</v>
      </c>
      <c r="D42" s="91">
        <f t="shared" si="35"/>
        <v>89352765.25590001</v>
      </c>
      <c r="E42" s="91">
        <f t="shared" si="35"/>
        <v>92033348.213577017</v>
      </c>
      <c r="F42" s="91">
        <f t="shared" ref="F42:J42" si="56">+E42*1.03</f>
        <v>94794348.659984335</v>
      </c>
      <c r="G42" s="91">
        <f t="shared" si="56"/>
        <v>97638179.119783863</v>
      </c>
      <c r="H42" s="91">
        <f t="shared" si="56"/>
        <v>100567324.49337739</v>
      </c>
      <c r="I42" s="91">
        <f t="shared" si="56"/>
        <v>103584344.22817871</v>
      </c>
      <c r="J42" s="91">
        <f t="shared" si="56"/>
        <v>106691874.55502407</v>
      </c>
      <c r="K42" s="91">
        <f t="shared" ref="K42:O42" si="57">+J42*1.03</f>
        <v>109892630.79167479</v>
      </c>
      <c r="L42" s="91">
        <f t="shared" si="57"/>
        <v>113189409.71542504</v>
      </c>
      <c r="M42" s="91">
        <f t="shared" si="57"/>
        <v>116585092.00688779</v>
      </c>
      <c r="N42" s="91">
        <f t="shared" si="57"/>
        <v>120082644.76709443</v>
      </c>
      <c r="O42" s="91">
        <f t="shared" si="57"/>
        <v>123685124.11010727</v>
      </c>
    </row>
    <row r="43" spans="1:15" x14ac:dyDescent="0.2">
      <c r="A43" s="5" t="str">
        <f>+'[2]ERI2019-2018 (4)'!$A$43</f>
        <v>Extraordinarios</v>
      </c>
      <c r="B43" s="91">
        <v>279103</v>
      </c>
      <c r="C43" s="91">
        <f t="shared" si="35"/>
        <v>287476.09000000003</v>
      </c>
      <c r="D43" s="91">
        <f t="shared" si="35"/>
        <v>296100.37270000001</v>
      </c>
      <c r="E43" s="91">
        <f t="shared" si="35"/>
        <v>304983.38388099999</v>
      </c>
      <c r="F43" s="91">
        <f t="shared" ref="F43:J43" si="58">+E43*1.03</f>
        <v>314132.88539742999</v>
      </c>
      <c r="G43" s="91">
        <f t="shared" si="58"/>
        <v>323556.87195935287</v>
      </c>
      <c r="H43" s="91">
        <f t="shared" si="58"/>
        <v>333263.57811813348</v>
      </c>
      <c r="I43" s="91">
        <f t="shared" si="58"/>
        <v>343261.48546167748</v>
      </c>
      <c r="J43" s="91">
        <f t="shared" si="58"/>
        <v>353559.3300255278</v>
      </c>
      <c r="K43" s="91">
        <f t="shared" ref="K43:O43" si="59">+J43*1.03</f>
        <v>364166.10992629366</v>
      </c>
      <c r="L43" s="91">
        <f t="shared" si="59"/>
        <v>375091.09322408249</v>
      </c>
      <c r="M43" s="91">
        <f t="shared" si="59"/>
        <v>386343.82602080499</v>
      </c>
      <c r="N43" s="91">
        <f t="shared" si="59"/>
        <v>397934.14080142917</v>
      </c>
      <c r="O43" s="91">
        <f t="shared" si="59"/>
        <v>409872.16502547206</v>
      </c>
    </row>
    <row r="44" spans="1:15" x14ac:dyDescent="0.2">
      <c r="A44" s="5" t="str">
        <f>+'[2]ERI2019-2018 (4)'!$A$44</f>
        <v>Diversos</v>
      </c>
      <c r="B44" s="91">
        <v>9941200</v>
      </c>
      <c r="C44" s="91">
        <f t="shared" si="35"/>
        <v>10239436</v>
      </c>
      <c r="D44" s="91">
        <f t="shared" si="35"/>
        <v>10546619.08</v>
      </c>
      <c r="E44" s="91">
        <f t="shared" si="35"/>
        <v>10863017.6524</v>
      </c>
      <c r="F44" s="91">
        <f t="shared" ref="F44:J44" si="60">+E44*1.03</f>
        <v>11188908.181972001</v>
      </c>
      <c r="G44" s="91">
        <f t="shared" si="60"/>
        <v>11524575.427431161</v>
      </c>
      <c r="H44" s="91">
        <f t="shared" si="60"/>
        <v>11870312.690254096</v>
      </c>
      <c r="I44" s="91">
        <f t="shared" si="60"/>
        <v>12226422.070961719</v>
      </c>
      <c r="J44" s="91">
        <f t="shared" si="60"/>
        <v>12593214.733090572</v>
      </c>
      <c r="K44" s="91">
        <f t="shared" ref="K44:O44" si="61">+J44*1.03</f>
        <v>12971011.175083289</v>
      </c>
      <c r="L44" s="91">
        <f t="shared" si="61"/>
        <v>13360141.510335788</v>
      </c>
      <c r="M44" s="91">
        <f t="shared" si="61"/>
        <v>13760945.755645862</v>
      </c>
      <c r="N44" s="91">
        <f t="shared" si="61"/>
        <v>14173774.128315238</v>
      </c>
      <c r="O44" s="91">
        <f t="shared" si="61"/>
        <v>14598987.352164695</v>
      </c>
    </row>
    <row r="45" spans="1:15" x14ac:dyDescent="0.2">
      <c r="A45" s="12" t="s">
        <v>91</v>
      </c>
      <c r="B45" s="91"/>
      <c r="C45" s="91">
        <f t="shared" si="35"/>
        <v>0</v>
      </c>
      <c r="D45" s="91">
        <f t="shared" si="35"/>
        <v>0</v>
      </c>
      <c r="E45" s="91">
        <f t="shared" si="35"/>
        <v>0</v>
      </c>
      <c r="F45" s="91">
        <f t="shared" ref="F45:J45" si="62">+E45*1.03</f>
        <v>0</v>
      </c>
      <c r="G45" s="91">
        <f t="shared" si="62"/>
        <v>0</v>
      </c>
      <c r="H45" s="91">
        <f t="shared" si="62"/>
        <v>0</v>
      </c>
      <c r="I45" s="91">
        <f t="shared" si="62"/>
        <v>0</v>
      </c>
      <c r="J45" s="91">
        <f t="shared" si="62"/>
        <v>0</v>
      </c>
      <c r="K45" s="91">
        <f t="shared" ref="K45:O45" si="63">+J45*1.03</f>
        <v>0</v>
      </c>
      <c r="L45" s="91">
        <f t="shared" si="63"/>
        <v>0</v>
      </c>
      <c r="M45" s="91">
        <f t="shared" si="63"/>
        <v>0</v>
      </c>
      <c r="N45" s="91">
        <f t="shared" si="63"/>
        <v>0</v>
      </c>
      <c r="O45" s="91">
        <f t="shared" si="63"/>
        <v>0</v>
      </c>
    </row>
    <row r="46" spans="1:15" x14ac:dyDescent="0.2">
      <c r="A46" s="5" t="s">
        <v>92</v>
      </c>
      <c r="B46" s="91">
        <f>+'[2]ERI2019-2018 (4)'!$C$46</f>
        <v>13785480</v>
      </c>
      <c r="C46" s="91">
        <f t="shared" si="35"/>
        <v>14199044.4</v>
      </c>
      <c r="D46" s="91">
        <f t="shared" si="35"/>
        <v>14625015.732000001</v>
      </c>
      <c r="E46" s="91">
        <f t="shared" si="35"/>
        <v>15063766.203960001</v>
      </c>
      <c r="F46" s="91">
        <f t="shared" ref="F46:J46" si="64">+E46*1.03</f>
        <v>15515679.190078802</v>
      </c>
      <c r="G46" s="91">
        <f t="shared" si="64"/>
        <v>15981149.565781167</v>
      </c>
      <c r="H46" s="91">
        <f t="shared" si="64"/>
        <v>16460584.052754601</v>
      </c>
      <c r="I46" s="91">
        <f t="shared" si="64"/>
        <v>16954401.57433724</v>
      </c>
      <c r="J46" s="91">
        <f t="shared" si="64"/>
        <v>17463033.621567357</v>
      </c>
      <c r="K46" s="91">
        <f t="shared" ref="K46:O46" si="65">+J46*1.03</f>
        <v>17986924.630214378</v>
      </c>
      <c r="L46" s="91">
        <f t="shared" si="65"/>
        <v>18526532.36912081</v>
      </c>
      <c r="M46" s="91">
        <f t="shared" si="65"/>
        <v>19082328.340194434</v>
      </c>
      <c r="N46" s="91">
        <f t="shared" si="65"/>
        <v>19654798.190400269</v>
      </c>
      <c r="O46" s="91">
        <f t="shared" si="65"/>
        <v>20244442.136112276</v>
      </c>
    </row>
    <row r="47" spans="1:15" x14ac:dyDescent="0.2">
      <c r="A47" s="12" t="str">
        <f>+'[2]ERI2018-2017 (3)'!$A$45</f>
        <v>Utilidad en Venta de Propiedad</v>
      </c>
      <c r="B47" s="95"/>
      <c r="C47" s="91">
        <f t="shared" si="35"/>
        <v>0</v>
      </c>
      <c r="D47" s="91">
        <f t="shared" si="35"/>
        <v>0</v>
      </c>
      <c r="E47" s="91">
        <f t="shared" si="35"/>
        <v>0</v>
      </c>
      <c r="F47" s="91">
        <f t="shared" ref="F47:J47" si="66">+E47*1.03</f>
        <v>0</v>
      </c>
      <c r="G47" s="91">
        <f t="shared" si="66"/>
        <v>0</v>
      </c>
      <c r="H47" s="91">
        <f t="shared" si="66"/>
        <v>0</v>
      </c>
      <c r="I47" s="91">
        <f t="shared" si="66"/>
        <v>0</v>
      </c>
      <c r="J47" s="91">
        <f t="shared" si="66"/>
        <v>0</v>
      </c>
      <c r="K47" s="91">
        <f t="shared" ref="K47:O47" si="67">+J47*1.03</f>
        <v>0</v>
      </c>
      <c r="L47" s="91">
        <f t="shared" si="67"/>
        <v>0</v>
      </c>
      <c r="M47" s="91">
        <f t="shared" si="67"/>
        <v>0</v>
      </c>
      <c r="N47" s="91">
        <f t="shared" si="67"/>
        <v>0</v>
      </c>
      <c r="O47" s="91">
        <f t="shared" si="67"/>
        <v>0</v>
      </c>
    </row>
    <row r="48" spans="1:15" x14ac:dyDescent="0.2">
      <c r="A48" s="5" t="str">
        <f>+'[2]ERI2018-2017 (3)'!$A$46</f>
        <v>Indemnizaciones</v>
      </c>
      <c r="B48" s="91"/>
      <c r="C48" s="91">
        <f t="shared" si="35"/>
        <v>0</v>
      </c>
      <c r="D48" s="91">
        <f t="shared" si="35"/>
        <v>0</v>
      </c>
      <c r="E48" s="91">
        <f t="shared" si="35"/>
        <v>0</v>
      </c>
      <c r="F48" s="91">
        <f t="shared" ref="F48:J48" si="68">+E48*1.03</f>
        <v>0</v>
      </c>
      <c r="G48" s="91">
        <f t="shared" si="68"/>
        <v>0</v>
      </c>
      <c r="H48" s="91">
        <f t="shared" si="68"/>
        <v>0</v>
      </c>
      <c r="I48" s="91">
        <f t="shared" si="68"/>
        <v>0</v>
      </c>
      <c r="J48" s="91">
        <f t="shared" si="68"/>
        <v>0</v>
      </c>
      <c r="K48" s="91">
        <f t="shared" ref="K48:O48" si="69">+J48*1.03</f>
        <v>0</v>
      </c>
      <c r="L48" s="91">
        <f t="shared" si="69"/>
        <v>0</v>
      </c>
      <c r="M48" s="91">
        <f t="shared" si="69"/>
        <v>0</v>
      </c>
      <c r="N48" s="91">
        <f t="shared" si="69"/>
        <v>0</v>
      </c>
      <c r="O48" s="91">
        <f t="shared" si="69"/>
        <v>0</v>
      </c>
    </row>
    <row r="49" spans="1:15" x14ac:dyDescent="0.2">
      <c r="A49" s="5" t="s">
        <v>93</v>
      </c>
      <c r="B49" s="91"/>
      <c r="C49" s="91">
        <f t="shared" si="35"/>
        <v>0</v>
      </c>
      <c r="D49" s="91">
        <f t="shared" si="35"/>
        <v>0</v>
      </c>
      <c r="E49" s="91">
        <f t="shared" si="35"/>
        <v>0</v>
      </c>
      <c r="F49" s="91">
        <f t="shared" ref="F49:J49" si="70">+E49*1.03</f>
        <v>0</v>
      </c>
      <c r="G49" s="91">
        <f t="shared" si="70"/>
        <v>0</v>
      </c>
      <c r="H49" s="91">
        <f t="shared" si="70"/>
        <v>0</v>
      </c>
      <c r="I49" s="91">
        <f t="shared" si="70"/>
        <v>0</v>
      </c>
      <c r="J49" s="91">
        <f t="shared" si="70"/>
        <v>0</v>
      </c>
      <c r="K49" s="91">
        <f t="shared" ref="K49:O49" si="71">+J49*1.03</f>
        <v>0</v>
      </c>
      <c r="L49" s="91">
        <f t="shared" si="71"/>
        <v>0</v>
      </c>
      <c r="M49" s="91">
        <f t="shared" si="71"/>
        <v>0</v>
      </c>
      <c r="N49" s="91">
        <f t="shared" si="71"/>
        <v>0</v>
      </c>
      <c r="O49" s="91">
        <f t="shared" si="71"/>
        <v>0</v>
      </c>
    </row>
    <row r="50" spans="1:15" x14ac:dyDescent="0.2">
      <c r="A50" s="5" t="str">
        <f>+'[2]ERI2019-2018 (4)'!$A$47</f>
        <v>Aprovechamientos</v>
      </c>
      <c r="B50" s="91">
        <v>413</v>
      </c>
      <c r="C50" s="91">
        <f t="shared" si="35"/>
        <v>425.39</v>
      </c>
      <c r="D50" s="91">
        <f t="shared" si="35"/>
        <v>438.15170000000001</v>
      </c>
      <c r="E50" s="91">
        <f t="shared" si="35"/>
        <v>451.29625100000004</v>
      </c>
      <c r="F50" s="91">
        <f t="shared" ref="F50:J50" si="72">+E50*1.03</f>
        <v>464.83513853000005</v>
      </c>
      <c r="G50" s="91">
        <f t="shared" si="72"/>
        <v>478.78019268590009</v>
      </c>
      <c r="H50" s="91">
        <f t="shared" si="72"/>
        <v>493.1435984664771</v>
      </c>
      <c r="I50" s="91">
        <f t="shared" si="72"/>
        <v>507.93790642047145</v>
      </c>
      <c r="J50" s="91">
        <f t="shared" si="72"/>
        <v>523.17604361308565</v>
      </c>
      <c r="K50" s="91">
        <f t="shared" ref="K50:O50" si="73">+J50*1.03</f>
        <v>538.87132492147828</v>
      </c>
      <c r="L50" s="91">
        <f t="shared" si="73"/>
        <v>555.03746466912264</v>
      </c>
      <c r="M50" s="91">
        <f t="shared" si="73"/>
        <v>571.68858860919636</v>
      </c>
      <c r="N50" s="91">
        <f t="shared" si="73"/>
        <v>588.83924626747228</v>
      </c>
      <c r="O50" s="91">
        <f t="shared" si="73"/>
        <v>606.50442365549645</v>
      </c>
    </row>
    <row r="51" spans="1:15" x14ac:dyDescent="0.2">
      <c r="A51" s="12" t="s">
        <v>94</v>
      </c>
      <c r="B51" s="95">
        <f>+B39-SUM(B42:B44)+SUM(B46:B50)</f>
        <v>-497205399.29333335</v>
      </c>
      <c r="C51" s="95">
        <f t="shared" si="35"/>
        <v>-512121561.27213335</v>
      </c>
      <c r="D51" s="95">
        <f t="shared" si="35"/>
        <v>-527485208.11029738</v>
      </c>
      <c r="E51" s="95">
        <f t="shared" si="35"/>
        <v>-543309764.35360634</v>
      </c>
      <c r="F51" s="95">
        <f t="shared" ref="F51" si="74">+E51*1.03</f>
        <v>-559609057.2842145</v>
      </c>
      <c r="G51" s="95">
        <f>+G39-G42-G43-G44+G46+G47+G48+G49+G50</f>
        <v>49004438.683202095</v>
      </c>
      <c r="H51" s="95">
        <f t="shared" ref="H51:O51" si="75">+H39-H42-H43-H44+H46+H47+H48+H49+H50</f>
        <v>212190107.84369814</v>
      </c>
      <c r="I51" s="95">
        <f t="shared" si="75"/>
        <v>430407347.07900929</v>
      </c>
      <c r="J51" s="95">
        <f t="shared" si="75"/>
        <v>699280103.49137914</v>
      </c>
      <c r="K51" s="95">
        <f t="shared" si="75"/>
        <v>695068162.59612036</v>
      </c>
      <c r="L51" s="95">
        <f t="shared" si="75"/>
        <v>1136521199.4740043</v>
      </c>
      <c r="M51" s="95">
        <f t="shared" si="75"/>
        <v>1703197309.0582244</v>
      </c>
      <c r="N51" s="95">
        <f t="shared" si="75"/>
        <v>2432392793.1299701</v>
      </c>
      <c r="O51" s="95">
        <f t="shared" si="75"/>
        <v>3373688249.7558694</v>
      </c>
    </row>
    <row r="52" spans="1:15" x14ac:dyDescent="0.2">
      <c r="A52" s="5"/>
      <c r="C52" s="91">
        <f t="shared" si="35"/>
        <v>0</v>
      </c>
      <c r="D52" s="91">
        <f t="shared" si="35"/>
        <v>0</v>
      </c>
      <c r="E52" s="91">
        <f t="shared" si="35"/>
        <v>0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</row>
    <row r="53" spans="1:15" x14ac:dyDescent="0.2">
      <c r="A53" s="12" t="s">
        <v>95</v>
      </c>
      <c r="B53" s="95"/>
      <c r="C53" s="91">
        <f t="shared" si="35"/>
        <v>0</v>
      </c>
      <c r="D53" s="91">
        <f t="shared" si="35"/>
        <v>0</v>
      </c>
      <c r="E53" s="91">
        <f t="shared" si="35"/>
        <v>0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x14ac:dyDescent="0.2">
      <c r="A54" s="12" t="s">
        <v>96</v>
      </c>
      <c r="B54" s="95"/>
      <c r="C54" s="91">
        <f t="shared" si="35"/>
        <v>0</v>
      </c>
      <c r="D54" s="91">
        <f t="shared" si="35"/>
        <v>0</v>
      </c>
      <c r="E54" s="91">
        <f t="shared" si="35"/>
        <v>0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2">
      <c r="A55" s="5" t="s">
        <v>97</v>
      </c>
      <c r="B55" s="91">
        <f>13233000*1.03</f>
        <v>13629990</v>
      </c>
      <c r="C55" s="91">
        <f t="shared" si="35"/>
        <v>14038889.700000001</v>
      </c>
      <c r="D55" s="91">
        <f t="shared" si="35"/>
        <v>14460056.391000001</v>
      </c>
      <c r="E55" s="91">
        <f t="shared" si="35"/>
        <v>14893858.082730001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</row>
    <row r="56" spans="1:15" x14ac:dyDescent="0.2">
      <c r="A56" s="5" t="str">
        <f>+'[2]ERI2018-2017 (3)'!$A$53</f>
        <v>Impuesto Ganancia Ocasional</v>
      </c>
      <c r="B56" s="91">
        <f>11884000*1.03</f>
        <v>12240520</v>
      </c>
      <c r="C56" s="91">
        <f t="shared" si="35"/>
        <v>12607735.6</v>
      </c>
      <c r="D56" s="91">
        <f t="shared" si="35"/>
        <v>12985967.668</v>
      </c>
      <c r="E56" s="91">
        <f t="shared" si="35"/>
        <v>13375546.698039999</v>
      </c>
      <c r="F56" s="91">
        <f>+B56*1.03</f>
        <v>12607735.6</v>
      </c>
      <c r="G56" s="91">
        <f t="shared" ref="G56:K56" si="76">+F56*1.03</f>
        <v>12985967.668</v>
      </c>
      <c r="H56" s="91">
        <f t="shared" si="76"/>
        <v>13375546.698039999</v>
      </c>
      <c r="I56" s="91">
        <f t="shared" si="76"/>
        <v>13776813.0989812</v>
      </c>
      <c r="J56" s="91">
        <f t="shared" si="76"/>
        <v>14190117.491950637</v>
      </c>
      <c r="K56" s="91">
        <f t="shared" si="76"/>
        <v>14615821.016709156</v>
      </c>
      <c r="L56" s="91">
        <f t="shared" ref="L56:L58" si="77">+K56*1.03</f>
        <v>15054295.647210432</v>
      </c>
      <c r="M56" s="91">
        <f t="shared" ref="M56:M58" si="78">+L56*1.03</f>
        <v>15505924.516626745</v>
      </c>
      <c r="N56" s="91">
        <f t="shared" ref="N56:N58" si="79">+M56*1.03</f>
        <v>15971102.252125548</v>
      </c>
      <c r="O56" s="91">
        <f t="shared" ref="O56:O58" si="80">+N56*1.03</f>
        <v>16450235.319689315</v>
      </c>
    </row>
    <row r="57" spans="1:15" x14ac:dyDescent="0.2">
      <c r="A57" s="5" t="s">
        <v>98</v>
      </c>
      <c r="B57" s="91"/>
      <c r="C57" s="91">
        <f t="shared" si="35"/>
        <v>0</v>
      </c>
      <c r="D57" s="91">
        <f t="shared" si="35"/>
        <v>0</v>
      </c>
      <c r="E57" s="91">
        <f t="shared" si="35"/>
        <v>0</v>
      </c>
      <c r="F57" s="91">
        <f>+B57*1.03</f>
        <v>0</v>
      </c>
      <c r="G57" s="91">
        <f t="shared" ref="G57:K58" si="81">+F57*1.03</f>
        <v>0</v>
      </c>
      <c r="H57" s="91">
        <f t="shared" si="81"/>
        <v>0</v>
      </c>
      <c r="I57" s="91">
        <f t="shared" si="81"/>
        <v>0</v>
      </c>
      <c r="J57" s="91">
        <f t="shared" si="81"/>
        <v>0</v>
      </c>
      <c r="K57" s="91">
        <f t="shared" si="81"/>
        <v>0</v>
      </c>
      <c r="L57" s="91">
        <f t="shared" si="77"/>
        <v>0</v>
      </c>
      <c r="M57" s="91">
        <f t="shared" si="78"/>
        <v>0</v>
      </c>
      <c r="N57" s="91">
        <f t="shared" si="79"/>
        <v>0</v>
      </c>
      <c r="O57" s="91">
        <f t="shared" si="80"/>
        <v>0</v>
      </c>
    </row>
    <row r="58" spans="1:15" x14ac:dyDescent="0.2">
      <c r="A58" s="5" t="s">
        <v>99</v>
      </c>
      <c r="B58" s="91">
        <f>+'[2]ERI2018-2017 (3)'!$C$54*1.03</f>
        <v>-12054700.790000001</v>
      </c>
      <c r="C58" s="91">
        <f t="shared" si="35"/>
        <v>-12416341.813700002</v>
      </c>
      <c r="D58" s="91">
        <f t="shared" si="35"/>
        <v>-12788832.068111002</v>
      </c>
      <c r="E58" s="91">
        <f t="shared" si="35"/>
        <v>-13172497.030154333</v>
      </c>
      <c r="F58" s="91">
        <f>+B58*1.03</f>
        <v>-12416341.813700002</v>
      </c>
      <c r="G58" s="91">
        <f t="shared" si="81"/>
        <v>-12788832.068111002</v>
      </c>
      <c r="H58" s="91">
        <f t="shared" si="81"/>
        <v>-13172497.030154333</v>
      </c>
      <c r="I58" s="91">
        <f t="shared" si="81"/>
        <v>-13567671.941058964</v>
      </c>
      <c r="J58" s="91">
        <f t="shared" si="81"/>
        <v>-13974702.099290732</v>
      </c>
      <c r="K58" s="91">
        <f t="shared" si="81"/>
        <v>-14393943.162269454</v>
      </c>
      <c r="L58" s="91">
        <f t="shared" si="77"/>
        <v>-14825761.457137538</v>
      </c>
      <c r="M58" s="91">
        <f t="shared" si="78"/>
        <v>-15270534.300851665</v>
      </c>
      <c r="N58" s="91">
        <f t="shared" si="79"/>
        <v>-15728650.329877216</v>
      </c>
      <c r="O58" s="91">
        <f t="shared" si="80"/>
        <v>-16200509.839773534</v>
      </c>
    </row>
    <row r="59" spans="1:15" x14ac:dyDescent="0.2">
      <c r="A59" s="5"/>
      <c r="B59" s="91"/>
      <c r="C59" s="91">
        <f t="shared" si="35"/>
        <v>0</v>
      </c>
      <c r="D59" s="91">
        <f t="shared" si="35"/>
        <v>0</v>
      </c>
      <c r="E59" s="91">
        <f t="shared" si="35"/>
        <v>0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</row>
    <row r="60" spans="1:15" x14ac:dyDescent="0.2">
      <c r="A60" s="12" t="s">
        <v>100</v>
      </c>
      <c r="B60" s="95">
        <f>+B51-SUM(B55:B58)</f>
        <v>-511021208.50333333</v>
      </c>
      <c r="C60" s="95">
        <f t="shared" si="35"/>
        <v>-526351844.75843334</v>
      </c>
      <c r="D60" s="95">
        <f t="shared" si="35"/>
        <v>-542142400.10118639</v>
      </c>
      <c r="E60" s="95">
        <f t="shared" si="35"/>
        <v>-558406672.10422206</v>
      </c>
      <c r="F60" s="95">
        <f t="shared" ref="F60:J60" si="82">+F51-SUM(F55:F58)</f>
        <v>-559800451.07051444</v>
      </c>
      <c r="G60" s="95">
        <f t="shared" si="82"/>
        <v>48807303.0833131</v>
      </c>
      <c r="H60" s="95">
        <f t="shared" si="82"/>
        <v>211987058.17581248</v>
      </c>
      <c r="I60" s="95">
        <f t="shared" si="82"/>
        <v>430198205.92108709</v>
      </c>
      <c r="J60" s="95">
        <f t="shared" si="82"/>
        <v>699064688.09871924</v>
      </c>
      <c r="K60" s="95">
        <f t="shared" ref="K60:O60" si="83">+K51-SUM(K55:K58)</f>
        <v>694846284.74168062</v>
      </c>
      <c r="L60" s="95">
        <f t="shared" si="83"/>
        <v>1136292665.2839313</v>
      </c>
      <c r="M60" s="95">
        <f t="shared" si="83"/>
        <v>1702961918.8424494</v>
      </c>
      <c r="N60" s="95">
        <f t="shared" si="83"/>
        <v>2432150341.2077217</v>
      </c>
      <c r="O60" s="95">
        <f t="shared" si="83"/>
        <v>3373438524.2759538</v>
      </c>
    </row>
    <row r="62" spans="1:15" hidden="1" x14ac:dyDescent="0.2">
      <c r="A62" s="21" t="s">
        <v>152</v>
      </c>
      <c r="B62" s="127">
        <f>+B5-B60</f>
        <v>605770336.50333333</v>
      </c>
      <c r="C62" s="127">
        <f t="shared" ref="C62:O62" si="84">+C5-C60</f>
        <v>761849569.7984333</v>
      </c>
      <c r="D62" s="127">
        <f t="shared" si="84"/>
        <v>784705056.89238644</v>
      </c>
      <c r="E62" s="127">
        <f t="shared" si="84"/>
        <v>808246208.59915805</v>
      </c>
      <c r="F62" s="127">
        <f t="shared" si="84"/>
        <v>1814800451.0705144</v>
      </c>
      <c r="G62" s="127">
        <f t="shared" si="84"/>
        <v>1367192696.916687</v>
      </c>
      <c r="H62" s="127">
        <f t="shared" si="84"/>
        <v>1402812941.8241875</v>
      </c>
      <c r="I62" s="127">
        <f t="shared" si="84"/>
        <v>1431001794.078913</v>
      </c>
      <c r="J62" s="127">
        <f t="shared" si="84"/>
        <v>1468791311.9012809</v>
      </c>
      <c r="K62" s="127">
        <f t="shared" si="84"/>
        <v>1336363315.2583194</v>
      </c>
      <c r="L62" s="127">
        <f t="shared" si="84"/>
        <v>1376454214.7160687</v>
      </c>
      <c r="M62" s="127">
        <f t="shared" si="84"/>
        <v>1417747841.1575506</v>
      </c>
      <c r="N62" s="127">
        <f t="shared" si="84"/>
        <v>1460280276.3922782</v>
      </c>
      <c r="O62" s="127">
        <f t="shared" si="84"/>
        <v>1504088684.6840453</v>
      </c>
    </row>
  </sheetData>
  <mergeCells count="1">
    <mergeCell ref="A1:O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7"/>
  <sheetViews>
    <sheetView workbookViewId="0">
      <selection activeCell="G19" sqref="G19"/>
    </sheetView>
  </sheetViews>
  <sheetFormatPr baseColWidth="10" defaultRowHeight="15" x14ac:dyDescent="0.25"/>
  <cols>
    <col min="2" max="3" width="17.7109375" bestFit="1" customWidth="1"/>
    <col min="4" max="4" width="15.7109375" bestFit="1" customWidth="1"/>
    <col min="5" max="5" width="14.5703125" bestFit="1" customWidth="1"/>
  </cols>
  <sheetData>
    <row r="1" spans="1:9" ht="54" customHeight="1" x14ac:dyDescent="0.25">
      <c r="A1" s="154" t="s">
        <v>158</v>
      </c>
      <c r="B1" s="155"/>
      <c r="C1" s="155"/>
      <c r="D1" s="155"/>
      <c r="E1" s="155"/>
      <c r="F1" s="155"/>
      <c r="G1" s="155"/>
      <c r="H1" s="155"/>
      <c r="I1" s="155"/>
    </row>
    <row r="3" spans="1:9" x14ac:dyDescent="0.25">
      <c r="A3" s="138" t="s">
        <v>159</v>
      </c>
      <c r="B3" s="138" t="s">
        <v>151</v>
      </c>
      <c r="C3" s="138" t="s">
        <v>152</v>
      </c>
      <c r="D3" s="138" t="s">
        <v>153</v>
      </c>
      <c r="E3" s="138" t="s">
        <v>154</v>
      </c>
      <c r="F3" s="139"/>
      <c r="G3" s="140"/>
      <c r="H3" s="140"/>
      <c r="I3" s="140"/>
    </row>
    <row r="4" spans="1:9" x14ac:dyDescent="0.25">
      <c r="A4" s="141">
        <v>2020</v>
      </c>
      <c r="B4" s="147">
        <f>+'9.Estado de resultados Proy.'!C5</f>
        <v>235497725.03999999</v>
      </c>
      <c r="C4" s="142">
        <f>+'9.Estado de resultados Proy.'!C62</f>
        <v>761849569.7984333</v>
      </c>
      <c r="D4" s="143">
        <f>B4-C4</f>
        <v>-526351844.75843334</v>
      </c>
      <c r="E4" s="143">
        <f>-D4+(SUM(E5:E16))</f>
        <v>9595749311.1131783</v>
      </c>
      <c r="F4" s="144"/>
      <c r="G4" s="145"/>
      <c r="H4" s="140"/>
      <c r="I4" s="140"/>
    </row>
    <row r="5" spans="1:9" x14ac:dyDescent="0.25">
      <c r="A5" s="141">
        <v>2021</v>
      </c>
      <c r="B5" s="142">
        <f>+'9.Estado de resultados Proy.'!D5</f>
        <v>242562656.79120001</v>
      </c>
      <c r="C5" s="142">
        <f>+'9.Estado de resultados Proy.'!D62</f>
        <v>784705056.89238644</v>
      </c>
      <c r="D5" s="143">
        <f t="shared" ref="D5:D16" si="0">B5-C5</f>
        <v>-542142400.10118639</v>
      </c>
      <c r="E5" s="143">
        <f>D5/(1+G73)</f>
        <v>-542142400.10118639</v>
      </c>
      <c r="F5" s="144"/>
      <c r="G5" s="140"/>
      <c r="H5" s="140"/>
      <c r="I5" s="140"/>
    </row>
    <row r="6" spans="1:9" x14ac:dyDescent="0.25">
      <c r="A6" s="141">
        <v>2022</v>
      </c>
      <c r="B6" s="142">
        <f>+'9.Estado de resultados Proy.'!E5</f>
        <v>249839536.49493602</v>
      </c>
      <c r="C6" s="142">
        <f>+'9.Estado de resultados Proy.'!E62</f>
        <v>808246208.59915805</v>
      </c>
      <c r="D6" s="143">
        <f t="shared" si="0"/>
        <v>-558406672.10422206</v>
      </c>
      <c r="E6" s="143">
        <f>D6/((1+G73)^2)</f>
        <v>-558406672.10422206</v>
      </c>
      <c r="F6" s="144"/>
      <c r="G6" s="140"/>
      <c r="H6" s="140"/>
      <c r="I6" s="140"/>
    </row>
    <row r="7" spans="1:9" x14ac:dyDescent="0.25">
      <c r="A7" s="141">
        <v>2023</v>
      </c>
      <c r="B7" s="142">
        <f>+'9.Estado de resultados Proy.'!F5</f>
        <v>1255000000</v>
      </c>
      <c r="C7" s="142">
        <f>+'9.Estado de resultados Proy.'!F62</f>
        <v>1814800451.0705144</v>
      </c>
      <c r="D7" s="143">
        <f t="shared" si="0"/>
        <v>-559800451.07051444</v>
      </c>
      <c r="E7" s="143">
        <f>D7/((1+G73)^3)</f>
        <v>-559800451.07051444</v>
      </c>
      <c r="F7" s="144"/>
      <c r="G7" s="140"/>
      <c r="H7" s="140"/>
      <c r="I7" s="140"/>
    </row>
    <row r="8" spans="1:9" x14ac:dyDescent="0.25">
      <c r="A8" s="141">
        <v>2024</v>
      </c>
      <c r="B8" s="142">
        <f>+'9.Estado de resultados Proy.'!G5</f>
        <v>1416000000</v>
      </c>
      <c r="C8" s="142">
        <f>+'9.Estado de resultados Proy.'!G62</f>
        <v>1367192696.916687</v>
      </c>
      <c r="D8" s="143">
        <f t="shared" si="0"/>
        <v>48807303.083312988</v>
      </c>
      <c r="E8" s="143">
        <f>D8/((1+G73)^4)</f>
        <v>48807303.083312988</v>
      </c>
      <c r="F8" s="140"/>
      <c r="G8" s="140"/>
      <c r="H8" s="140"/>
      <c r="I8" s="140"/>
    </row>
    <row r="9" spans="1:9" x14ac:dyDescent="0.25">
      <c r="A9" s="141">
        <v>2025</v>
      </c>
      <c r="B9" s="142">
        <f>+'9.Estado de resultados Proy.'!H5</f>
        <v>1614800000</v>
      </c>
      <c r="C9" s="142">
        <f>+'9.Estado de resultados Proy.'!H62</f>
        <v>1402812941.8241875</v>
      </c>
      <c r="D9" s="143">
        <f t="shared" si="0"/>
        <v>211987058.17581248</v>
      </c>
      <c r="E9" s="143">
        <f>D9/((1+G73)^5)</f>
        <v>211987058.17581248</v>
      </c>
      <c r="F9" s="140"/>
      <c r="G9" s="145"/>
      <c r="H9" s="140"/>
      <c r="I9" s="140"/>
    </row>
    <row r="10" spans="1:9" x14ac:dyDescent="0.25">
      <c r="A10" s="141">
        <v>2026</v>
      </c>
      <c r="B10" s="142">
        <f>+'9.Estado de resultados Proy.'!I5</f>
        <v>1861200000</v>
      </c>
      <c r="C10" s="142">
        <f>+'9.Estado de resultados Proy.'!I62</f>
        <v>1431001794.078913</v>
      </c>
      <c r="D10" s="143">
        <f t="shared" si="0"/>
        <v>430198205.92108703</v>
      </c>
      <c r="E10" s="143">
        <f>D10/((1+G73)^6)</f>
        <v>430198205.92108703</v>
      </c>
      <c r="F10" s="140"/>
      <c r="G10" s="140"/>
      <c r="H10" s="140"/>
      <c r="I10" s="140"/>
    </row>
    <row r="11" spans="1:9" x14ac:dyDescent="0.25">
      <c r="A11" s="141">
        <v>2027</v>
      </c>
      <c r="B11" s="142">
        <f>+'9.Estado de resultados Proy.'!J5</f>
        <v>2167856000</v>
      </c>
      <c r="C11" s="142">
        <f>+'9.Estado de resultados Proy.'!J62</f>
        <v>1468791311.9012809</v>
      </c>
      <c r="D11" s="143">
        <f t="shared" si="0"/>
        <v>699064688.09871912</v>
      </c>
      <c r="E11" s="143">
        <f>D11/((1+G73)^7)</f>
        <v>699064688.09871912</v>
      </c>
      <c r="F11" s="140"/>
      <c r="G11" s="140"/>
      <c r="H11" s="140"/>
      <c r="I11" s="140"/>
    </row>
    <row r="12" spans="1:9" x14ac:dyDescent="0.25">
      <c r="A12" s="141">
        <v>2028</v>
      </c>
      <c r="B12" s="142">
        <f>+'9.Estado de resultados Proy.'!K5</f>
        <v>2031209600</v>
      </c>
      <c r="C12" s="142">
        <f>+'9.Estado de resultados Proy.'!K62</f>
        <v>1336363315.2583194</v>
      </c>
      <c r="D12" s="143">
        <f t="shared" si="0"/>
        <v>694846284.74168062</v>
      </c>
      <c r="E12" s="143">
        <f>D12/((1+G73)^8)</f>
        <v>694846284.74168062</v>
      </c>
      <c r="F12" s="140"/>
      <c r="G12" s="140"/>
      <c r="H12" s="140"/>
      <c r="I12" s="140"/>
    </row>
    <row r="13" spans="1:9" x14ac:dyDescent="0.25">
      <c r="A13" s="141">
        <v>2029</v>
      </c>
      <c r="B13" s="142">
        <f>+'9.Estado de resultados Proy.'!L5</f>
        <v>2512746880</v>
      </c>
      <c r="C13" s="142">
        <f>+'9.Estado de resultados Proy.'!L62</f>
        <v>1376454214.7160687</v>
      </c>
      <c r="D13" s="143">
        <f t="shared" si="0"/>
        <v>1136292665.2839313</v>
      </c>
      <c r="E13" s="143">
        <f>D13/((1+G73)^9)</f>
        <v>1136292665.2839313</v>
      </c>
      <c r="F13" s="140"/>
      <c r="G13" s="140"/>
      <c r="H13" s="140"/>
      <c r="I13" s="140"/>
    </row>
    <row r="14" spans="1:9" x14ac:dyDescent="0.25">
      <c r="A14" s="141">
        <v>2030</v>
      </c>
      <c r="B14" s="142">
        <f>+'9.Estado de resultados Proy.'!M5</f>
        <v>3120709760</v>
      </c>
      <c r="C14" s="142">
        <f>+'9.Estado de resultados Proy.'!M62</f>
        <v>1417747841.1575506</v>
      </c>
      <c r="D14" s="143">
        <f t="shared" si="0"/>
        <v>1702961918.8424494</v>
      </c>
      <c r="E14" s="143">
        <f>D14/((1+G73)^11)</f>
        <v>1702961918.8424494</v>
      </c>
      <c r="F14" s="140"/>
      <c r="G14" s="140"/>
      <c r="H14" s="140"/>
      <c r="I14" s="140"/>
    </row>
    <row r="15" spans="1:9" x14ac:dyDescent="0.25">
      <c r="A15" s="141">
        <v>2031</v>
      </c>
      <c r="B15" s="142">
        <f>+'9.Estado de resultados Proy.'!N5</f>
        <v>3892430617.5999999</v>
      </c>
      <c r="C15" s="142">
        <f>+'9.Estado de resultados Proy.'!N62</f>
        <v>1460280276.3922782</v>
      </c>
      <c r="D15" s="143">
        <f t="shared" si="0"/>
        <v>2432150341.2077217</v>
      </c>
      <c r="E15" s="143">
        <f>D15/((1+G73)^12)</f>
        <v>2432150341.2077217</v>
      </c>
      <c r="F15" s="140"/>
      <c r="G15" s="140"/>
      <c r="H15" s="140"/>
      <c r="I15" s="140"/>
    </row>
    <row r="16" spans="1:9" x14ac:dyDescent="0.25">
      <c r="A16" s="141">
        <v>2032</v>
      </c>
      <c r="B16" s="142">
        <f>+'9.Estado de resultados Proy.'!O5</f>
        <v>4877527208.9599991</v>
      </c>
      <c r="C16" s="142">
        <f>+'9.Estado de resultados Proy.'!O62</f>
        <v>1504088684.6840453</v>
      </c>
      <c r="D16" s="143">
        <f t="shared" si="0"/>
        <v>3373438524.2759538</v>
      </c>
      <c r="E16" s="143">
        <f>D16/((1+G73)^13)</f>
        <v>3373438524.2759538</v>
      </c>
      <c r="F16" s="140"/>
      <c r="G16" s="140"/>
      <c r="H16" s="140"/>
      <c r="I16" s="140"/>
    </row>
    <row r="17" spans="1:9" x14ac:dyDescent="0.25">
      <c r="A17" s="140"/>
      <c r="B17" s="138" t="s">
        <v>155</v>
      </c>
      <c r="C17" s="138" t="s">
        <v>156</v>
      </c>
      <c r="D17" s="146" t="s">
        <v>157</v>
      </c>
      <c r="E17" s="140"/>
      <c r="F17" s="140"/>
      <c r="G17" s="140"/>
      <c r="H17" s="140"/>
      <c r="I17" s="140"/>
    </row>
    <row r="18" spans="1:9" x14ac:dyDescent="0.25">
      <c r="A18" s="140"/>
      <c r="B18" s="142">
        <f>SUM(B4:B16)</f>
        <v>25477379984.886135</v>
      </c>
      <c r="C18" s="142">
        <f>SUM(C4:C16)</f>
        <v>16934334363.289824</v>
      </c>
      <c r="D18" s="143">
        <f>C18+B18</f>
        <v>42411714348.175957</v>
      </c>
      <c r="E18" s="140"/>
      <c r="F18" s="145"/>
      <c r="G18" s="140"/>
      <c r="H18" s="140"/>
      <c r="I18" s="140"/>
    </row>
    <row r="19" spans="1:9" x14ac:dyDescent="0.25">
      <c r="A19" s="140"/>
      <c r="B19" s="140"/>
      <c r="C19" s="140"/>
      <c r="D19" s="140"/>
      <c r="E19" s="140"/>
      <c r="F19" s="140"/>
      <c r="G19" s="140"/>
      <c r="H19" s="140"/>
      <c r="I19" s="140"/>
    </row>
    <row r="20" spans="1:9" x14ac:dyDescent="0.25">
      <c r="A20" s="141"/>
      <c r="B20" s="141"/>
      <c r="C20" s="140"/>
      <c r="D20" s="140"/>
      <c r="E20" s="145"/>
      <c r="F20" s="140"/>
      <c r="G20" s="140"/>
      <c r="H20" s="140"/>
      <c r="I20" s="140"/>
    </row>
    <row r="21" spans="1:9" x14ac:dyDescent="0.25">
      <c r="A21" s="141"/>
      <c r="B21" s="141"/>
      <c r="C21" s="140"/>
      <c r="D21" s="140"/>
      <c r="E21" s="140"/>
      <c r="F21" s="140"/>
      <c r="G21" s="140"/>
      <c r="H21" s="140"/>
      <c r="I21" s="140"/>
    </row>
    <row r="22" spans="1:9" x14ac:dyDescent="0.25">
      <c r="A22" s="141"/>
      <c r="B22" s="141"/>
      <c r="C22" s="140"/>
      <c r="D22" s="140"/>
      <c r="E22" s="140"/>
      <c r="F22" s="140"/>
      <c r="G22" s="140"/>
      <c r="H22" s="140"/>
      <c r="I22" s="140"/>
    </row>
    <row r="23" spans="1:9" x14ac:dyDescent="0.25">
      <c r="A23" s="141"/>
      <c r="B23" s="141"/>
      <c r="C23" s="140"/>
      <c r="D23" s="140"/>
      <c r="E23" s="140"/>
      <c r="F23" s="140"/>
      <c r="G23" s="140"/>
      <c r="H23" s="140"/>
      <c r="I23" s="140"/>
    </row>
    <row r="24" spans="1:9" x14ac:dyDescent="0.25">
      <c r="A24" s="140"/>
      <c r="B24" s="140"/>
      <c r="C24" s="140"/>
      <c r="D24" s="140"/>
      <c r="E24" s="140"/>
      <c r="F24" s="140"/>
      <c r="G24" s="140"/>
      <c r="H24" s="140"/>
      <c r="I24" s="140"/>
    </row>
    <row r="25" spans="1:9" x14ac:dyDescent="0.25">
      <c r="A25" s="140"/>
      <c r="B25" s="140"/>
      <c r="C25" s="140"/>
      <c r="D25" s="140"/>
      <c r="E25" s="140"/>
      <c r="F25" s="140"/>
      <c r="G25" s="140"/>
      <c r="H25" s="140"/>
      <c r="I25" s="140"/>
    </row>
    <row r="26" spans="1:9" x14ac:dyDescent="0.25">
      <c r="A26" s="140"/>
      <c r="B26" s="140"/>
      <c r="C26" s="140"/>
      <c r="D26" s="140"/>
      <c r="E26" s="140"/>
      <c r="F26" s="140"/>
      <c r="G26" s="140"/>
      <c r="H26" s="140"/>
      <c r="I26" s="140"/>
    </row>
    <row r="27" spans="1:9" x14ac:dyDescent="0.25">
      <c r="A27" s="140"/>
      <c r="B27" s="140"/>
      <c r="C27" s="140"/>
      <c r="D27" s="140"/>
      <c r="E27" s="140"/>
      <c r="F27" s="140"/>
      <c r="G27" s="140"/>
      <c r="H27" s="140"/>
      <c r="I27" s="140"/>
    </row>
    <row r="28" spans="1:9" x14ac:dyDescent="0.25">
      <c r="A28" s="140"/>
      <c r="B28" s="140"/>
      <c r="C28" s="140"/>
      <c r="D28" s="140"/>
      <c r="E28" s="140"/>
      <c r="F28" s="140"/>
      <c r="G28" s="140"/>
      <c r="H28" s="140"/>
      <c r="I28" s="140"/>
    </row>
    <row r="29" spans="1:9" x14ac:dyDescent="0.25">
      <c r="A29" s="140"/>
      <c r="B29" s="140"/>
      <c r="C29" s="140"/>
      <c r="D29" s="140"/>
      <c r="E29" s="140"/>
      <c r="F29" s="140"/>
      <c r="G29" s="140"/>
      <c r="H29" s="140"/>
      <c r="I29" s="140"/>
    </row>
    <row r="30" spans="1:9" x14ac:dyDescent="0.25">
      <c r="A30" s="140"/>
      <c r="B30" s="140"/>
      <c r="C30" s="140"/>
      <c r="D30" s="140"/>
      <c r="E30" s="140"/>
      <c r="F30" s="140"/>
      <c r="G30" s="140"/>
      <c r="H30" s="140"/>
      <c r="I30" s="140"/>
    </row>
    <row r="31" spans="1:9" x14ac:dyDescent="0.25">
      <c r="A31" s="140"/>
      <c r="B31" s="140"/>
      <c r="C31" s="140"/>
      <c r="D31" s="140"/>
      <c r="E31" s="140"/>
      <c r="F31" s="140"/>
      <c r="G31" s="140"/>
      <c r="H31" s="140"/>
      <c r="I31" s="140"/>
    </row>
    <row r="32" spans="1:9" x14ac:dyDescent="0.25">
      <c r="A32" s="140"/>
      <c r="B32" s="140"/>
      <c r="C32" s="140"/>
      <c r="D32" s="140"/>
      <c r="E32" s="140"/>
      <c r="F32" s="140"/>
      <c r="G32" s="140"/>
      <c r="H32" s="140"/>
      <c r="I32" s="140"/>
    </row>
    <row r="33" spans="1:9" x14ac:dyDescent="0.25">
      <c r="A33" s="140"/>
      <c r="B33" s="140"/>
      <c r="C33" s="140"/>
      <c r="D33" s="140"/>
      <c r="E33" s="140"/>
      <c r="F33" s="140"/>
      <c r="G33" s="140"/>
      <c r="H33" s="140"/>
      <c r="I33" s="140"/>
    </row>
    <row r="34" spans="1:9" x14ac:dyDescent="0.25">
      <c r="A34" s="140"/>
      <c r="B34" s="140"/>
      <c r="C34" s="140"/>
      <c r="D34" s="140"/>
      <c r="E34" s="140"/>
      <c r="F34" s="140"/>
      <c r="G34" s="140"/>
      <c r="H34" s="140"/>
      <c r="I34" s="140"/>
    </row>
    <row r="35" spans="1:9" x14ac:dyDescent="0.25">
      <c r="A35" s="140"/>
      <c r="B35" s="140"/>
      <c r="C35" s="140"/>
      <c r="D35" s="140"/>
      <c r="E35" s="140"/>
      <c r="F35" s="140"/>
      <c r="G35" s="140"/>
      <c r="H35" s="140"/>
      <c r="I35" s="140"/>
    </row>
    <row r="36" spans="1:9" x14ac:dyDescent="0.25">
      <c r="A36" s="140"/>
      <c r="B36" s="140"/>
      <c r="C36" s="140"/>
      <c r="D36" s="140"/>
      <c r="E36" s="140"/>
      <c r="F36" s="140"/>
      <c r="G36" s="140"/>
      <c r="H36" s="140"/>
      <c r="I36" s="140"/>
    </row>
    <row r="37" spans="1:9" x14ac:dyDescent="0.25">
      <c r="A37" s="140"/>
      <c r="B37" s="140"/>
      <c r="C37" s="140"/>
      <c r="D37" s="140"/>
      <c r="E37" s="140"/>
      <c r="F37" s="140"/>
      <c r="G37" s="140"/>
      <c r="H37" s="140"/>
      <c r="I37" s="14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8"/>
  <sheetViews>
    <sheetView showGridLines="0" zoomScaleNormal="100" workbookViewId="0">
      <pane xSplit="1" ySplit="3" topLeftCell="B29" activePane="bottomRight" state="frozen"/>
      <selection activeCell="B21" sqref="B21"/>
      <selection pane="topRight" activeCell="B21" sqref="B21"/>
      <selection pane="bottomLeft" activeCell="B21" sqref="B21"/>
      <selection pane="bottomRight" activeCell="F37" sqref="A37:F37"/>
    </sheetView>
  </sheetViews>
  <sheetFormatPr baseColWidth="10" defaultRowHeight="12.75" x14ac:dyDescent="0.2"/>
  <cols>
    <col min="1" max="1" width="40.28515625" style="21" customWidth="1"/>
    <col min="2" max="2" width="20.28515625" style="63" customWidth="1"/>
    <col min="3" max="6" width="17" style="63" customWidth="1"/>
    <col min="7" max="7" width="13.140625" style="21" customWidth="1"/>
    <col min="8" max="8" width="34.28515625" style="21" bestFit="1" customWidth="1"/>
    <col min="9" max="10" width="27" style="21" bestFit="1" customWidth="1"/>
    <col min="11" max="11" width="34.28515625" style="21" bestFit="1" customWidth="1"/>
    <col min="12" max="12" width="22" style="21" bestFit="1" customWidth="1"/>
    <col min="13" max="13" width="21.140625" style="21" customWidth="1"/>
    <col min="14" max="14" width="13.7109375" style="21" bestFit="1" customWidth="1"/>
    <col min="15" max="16384" width="11.42578125" style="21"/>
  </cols>
  <sheetData>
    <row r="1" spans="1:11" ht="51" customHeight="1" x14ac:dyDescent="0.25">
      <c r="A1" s="164" t="s">
        <v>124</v>
      </c>
      <c r="B1" s="165"/>
      <c r="C1" s="165"/>
      <c r="D1" s="165"/>
      <c r="E1" s="165"/>
      <c r="F1" s="165"/>
    </row>
    <row r="3" spans="1:11" x14ac:dyDescent="0.2">
      <c r="A3" s="110"/>
      <c r="B3" s="119" t="s">
        <v>53</v>
      </c>
      <c r="C3" s="120" t="s">
        <v>54</v>
      </c>
      <c r="D3" s="119" t="s">
        <v>55</v>
      </c>
      <c r="E3" s="120" t="s">
        <v>56</v>
      </c>
      <c r="F3" s="119" t="s">
        <v>57</v>
      </c>
    </row>
    <row r="4" spans="1:11" x14ac:dyDescent="0.2">
      <c r="A4" s="8" t="s">
        <v>0</v>
      </c>
      <c r="B4" s="10"/>
      <c r="C4" s="7"/>
      <c r="D4" s="6"/>
      <c r="E4" s="7"/>
      <c r="F4" s="6"/>
    </row>
    <row r="5" spans="1:11" x14ac:dyDescent="0.2">
      <c r="A5" s="11" t="s">
        <v>1</v>
      </c>
      <c r="B5" s="6"/>
      <c r="C5" s="7"/>
      <c r="D5" s="6"/>
      <c r="E5" s="7"/>
      <c r="F5" s="6"/>
      <c r="H5" s="124" t="s">
        <v>102</v>
      </c>
      <c r="I5" s="124" t="s">
        <v>108</v>
      </c>
      <c r="J5" s="124" t="s">
        <v>103</v>
      </c>
      <c r="K5" s="124" t="s">
        <v>109</v>
      </c>
    </row>
    <row r="6" spans="1:11" x14ac:dyDescent="0.2">
      <c r="A6" s="12" t="str">
        <f>+[1]ESF2015!$A$9</f>
        <v>Efectivo y equivalente a efectivo</v>
      </c>
      <c r="B6" s="13">
        <f>+[1]ESF2015!$C$9</f>
        <v>20868549</v>
      </c>
      <c r="C6" s="14">
        <f>+'[1]ESF2016-2015'!$C$10</f>
        <v>16127778</v>
      </c>
      <c r="D6" s="15">
        <f>+'[1]ESF2018-2017 (3)'!$E$10</f>
        <v>75898259</v>
      </c>
      <c r="E6" s="14">
        <f>+'[1]ESF2018-2017 (3)'!$C$10</f>
        <v>341735089</v>
      </c>
      <c r="F6" s="15">
        <f>+'[2]ESF2019-2018 (4)'!$C$10</f>
        <v>287110301</v>
      </c>
      <c r="H6" s="60">
        <f>+AVERAGE(B9:C9)</f>
        <v>1869332.5</v>
      </c>
      <c r="I6" s="60">
        <f>+AVERAGE(C9:D9)</f>
        <v>1873709</v>
      </c>
      <c r="J6" s="60">
        <f>+AVERAGE(D9:E9)</f>
        <v>17534109</v>
      </c>
      <c r="K6" s="60">
        <f>+AVERAGE(E9:F9)</f>
        <v>18486809</v>
      </c>
    </row>
    <row r="7" spans="1:11" x14ac:dyDescent="0.2">
      <c r="A7" s="5" t="str">
        <f>+[1]ESF2015!$A$10</f>
        <v>Caja General</v>
      </c>
      <c r="B7" s="16">
        <f>+[1]ESF2015!$C$10</f>
        <v>20822350</v>
      </c>
      <c r="C7" s="7">
        <f>+'[1]ESF2016-2015'!$C$11</f>
        <v>11893088</v>
      </c>
      <c r="D7" s="6">
        <f>+'[1]ESF2018-2017 (3)'!$E$11</f>
        <v>72598139</v>
      </c>
      <c r="E7" s="7">
        <f>+'[1]ESF2018-2017 (3)'!$C$11</f>
        <v>341414036</v>
      </c>
      <c r="F7" s="6">
        <f>+'[2]ESF2019-2018 (4)'!$C$11</f>
        <v>190749261</v>
      </c>
    </row>
    <row r="8" spans="1:11" x14ac:dyDescent="0.2">
      <c r="A8" s="5" t="str">
        <f>+[1]ESF2015!$A$11</f>
        <v>Bancos</v>
      </c>
      <c r="B8" s="16">
        <f>+[1]ESF2015!$C$11</f>
        <v>46199</v>
      </c>
      <c r="C8" s="7">
        <f>+'[1]ESF2016-2015'!$C$12</f>
        <v>4234690</v>
      </c>
      <c r="D8" s="6">
        <f>+'[1]ESF2018-2017 (3)'!$E$12</f>
        <v>3300120</v>
      </c>
      <c r="E8" s="7">
        <f>+'[1]ESF2018-2017 (3)'!$C$12</f>
        <v>321053</v>
      </c>
      <c r="F8" s="6">
        <f>+'[2]ESF2019-2018 (4)'!$C$12</f>
        <v>96361040</v>
      </c>
      <c r="H8" s="124" t="s">
        <v>104</v>
      </c>
      <c r="I8" s="124" t="s">
        <v>110</v>
      </c>
      <c r="J8" s="124" t="s">
        <v>105</v>
      </c>
      <c r="K8" s="124" t="s">
        <v>111</v>
      </c>
    </row>
    <row r="9" spans="1:11" x14ac:dyDescent="0.2">
      <c r="A9" s="12" t="str">
        <f>+[1]ESF2015!$A$12</f>
        <v>Cuentas Comerciales por Cobrar</v>
      </c>
      <c r="B9" s="13">
        <f>+[1]ESF2015!$C$12</f>
        <v>1864956</v>
      </c>
      <c r="C9" s="14">
        <f>+'[1]ESF2016-2015'!$C$13</f>
        <v>1873709</v>
      </c>
      <c r="D9" s="15">
        <f>+'[1]ESF2018-2017 (3)'!$E$13</f>
        <v>1873709</v>
      </c>
      <c r="E9" s="14">
        <f>+'[1]ESF2018-2017 (3)'!$C$13</f>
        <v>33194509</v>
      </c>
      <c r="F9" s="15">
        <f>+'[2]ESF2019-2018 (4)'!$C$13</f>
        <v>3779109</v>
      </c>
      <c r="H9" s="60">
        <f>+AVERAGE(B14:C14)</f>
        <v>268444384</v>
      </c>
      <c r="I9" s="60">
        <f>+AVERAGE(C14:D14)</f>
        <v>232297181</v>
      </c>
      <c r="J9" s="60">
        <f>+AVERAGE(D14:E14)</f>
        <v>207657270</v>
      </c>
      <c r="K9" s="60">
        <f>+AVERAGE(E14:F14)</f>
        <v>478961633</v>
      </c>
    </row>
    <row r="10" spans="1:11" x14ac:dyDescent="0.2">
      <c r="A10" s="5" t="str">
        <f>+'[1]ESF2018-2017 (3)'!$A$14</f>
        <v>Clientes</v>
      </c>
      <c r="B10" s="16"/>
      <c r="C10" s="7"/>
      <c r="D10" s="6"/>
      <c r="E10" s="7">
        <f>+'[1]ESF2018-2017 (3)'!$C$14</f>
        <v>31320800</v>
      </c>
      <c r="F10" s="6">
        <f>+'[2]ESF2019-2018 (4)'!$C$14</f>
        <v>0</v>
      </c>
    </row>
    <row r="11" spans="1:11" x14ac:dyDescent="0.2">
      <c r="A11" s="5" t="str">
        <f>+[1]ESF2015!$A$13</f>
        <v>Otros Activos</v>
      </c>
      <c r="B11" s="16">
        <f>+[1]ESF2015!$C$13</f>
        <v>1864956</v>
      </c>
      <c r="C11" s="7">
        <f>+'[1]ESF2016-2015'!$C$14</f>
        <v>1873709</v>
      </c>
      <c r="D11" s="6">
        <f>+'[1]ESF2018-2017 (3)'!$E$15</f>
        <v>1873709</v>
      </c>
      <c r="E11" s="7">
        <f>+'[1]ESF2018-2017 (3)'!$C$15</f>
        <v>1873709</v>
      </c>
      <c r="F11" s="6">
        <f>+'[2]ESF2019-2018 (4)'!$C$15</f>
        <v>3779109</v>
      </c>
      <c r="H11" s="124" t="s">
        <v>106</v>
      </c>
      <c r="I11" s="124" t="s">
        <v>112</v>
      </c>
      <c r="J11" s="124" t="s">
        <v>107</v>
      </c>
      <c r="K11" s="124" t="s">
        <v>113</v>
      </c>
    </row>
    <row r="12" spans="1:11" x14ac:dyDescent="0.2">
      <c r="A12" s="12" t="str">
        <f>+'[1]ESF2016-2015'!$A$15</f>
        <v>Activo por Impuestos Corrientes</v>
      </c>
      <c r="B12" s="13"/>
      <c r="C12" s="14">
        <f>+'[1]ESF2016-2015'!$C$15</f>
        <v>564197</v>
      </c>
      <c r="D12" s="15">
        <f>+'[1]ESF2018-2017 (3)'!$E$16</f>
        <v>2947888</v>
      </c>
      <c r="E12" s="14">
        <f>+'[1]ESF2018-2017 (3)'!$C$16</f>
        <v>6864342</v>
      </c>
      <c r="F12" s="15">
        <f>+'[2]ESF2019-2018 (4)'!$C$16</f>
        <v>7583836</v>
      </c>
      <c r="H12" s="60">
        <f>+AVERAGE(B31:C31)</f>
        <v>266409282.5</v>
      </c>
      <c r="I12" s="60">
        <f>+AVERAGE(C31:D31)</f>
        <v>336189541</v>
      </c>
      <c r="J12" s="60">
        <f>+AVERAGE(D31:E31)</f>
        <v>762477656.5</v>
      </c>
      <c r="K12" s="60">
        <f>+AVERAGE(E31:F31)</f>
        <v>1593774442</v>
      </c>
    </row>
    <row r="13" spans="1:11" x14ac:dyDescent="0.2">
      <c r="A13" s="5" t="str">
        <f>+'[1]ESF2016-2015'!$A$16</f>
        <v>Anticipos de Impuestos y contribuciones</v>
      </c>
      <c r="B13" s="16"/>
      <c r="C13" s="7">
        <f>+'[1]ESF2016-2015'!$C$16</f>
        <v>564197</v>
      </c>
      <c r="D13" s="6">
        <f>+'[1]ESF2018-2017 (3)'!$E$17</f>
        <v>2947888</v>
      </c>
      <c r="E13" s="7">
        <f>+'[1]ESF2018-2017 (3)'!$C$17</f>
        <v>6864342</v>
      </c>
      <c r="F13" s="6">
        <f>+'[2]ESF2019-2018 (4)'!$C$17</f>
        <v>7583836</v>
      </c>
    </row>
    <row r="14" spans="1:11" x14ac:dyDescent="0.2">
      <c r="A14" s="12" t="str">
        <f>+'[1]ESF2016-2015'!$A$17</f>
        <v xml:space="preserve">Activo Biológicos </v>
      </c>
      <c r="B14" s="13"/>
      <c r="C14" s="14">
        <f>+'[1]ESF2016-2015'!$C$17</f>
        <v>268444384</v>
      </c>
      <c r="D14" s="15">
        <f>+'[1]ESF2018-2017 (3)'!$E$18</f>
        <v>196149978</v>
      </c>
      <c r="E14" s="14">
        <f>+'[1]ESF2018-2017 (3)'!$C$18</f>
        <v>219164562</v>
      </c>
      <c r="F14" s="15">
        <f>+'[2]ESF2019-2018 (4)'!$C$18</f>
        <v>738758704</v>
      </c>
    </row>
    <row r="15" spans="1:11" x14ac:dyDescent="0.2">
      <c r="A15" s="5" t="str">
        <f>+'[1]ESF2016-2015'!$A$18</f>
        <v>Cultivos en Desarrollo</v>
      </c>
      <c r="B15" s="16"/>
      <c r="C15" s="7">
        <f>+'[1]ESF2016-2015'!$C$18</f>
        <v>268444384</v>
      </c>
      <c r="D15" s="6">
        <f>+'[1]ESF2018-2017 (3)'!$E$19</f>
        <v>196149978</v>
      </c>
      <c r="E15" s="7">
        <f>+'[1]ESF2018-2017 (3)'!$C$19</f>
        <v>219164562</v>
      </c>
      <c r="F15" s="6">
        <f>+'[2]ESF2019-2018 (4)'!$C$19</f>
        <v>188472204</v>
      </c>
    </row>
    <row r="16" spans="1:11" x14ac:dyDescent="0.2">
      <c r="A16" s="5" t="str">
        <f>+'[2]ESF2019-2018 (4)'!$A$20</f>
        <v>Semovientes</v>
      </c>
      <c r="B16" s="6"/>
      <c r="C16" s="6"/>
      <c r="D16" s="6"/>
      <c r="E16" s="6"/>
      <c r="F16" s="6">
        <f>+'[2]ESF2019-2018 (4)'!$C$20</f>
        <v>550286500</v>
      </c>
    </row>
    <row r="17" spans="1:9" x14ac:dyDescent="0.2">
      <c r="A17" s="12" t="str">
        <f>+[1]ESF2015!$A$14</f>
        <v>Total del Activo Corriente</v>
      </c>
      <c r="B17" s="13">
        <f>+[1]ESF2015!$C$14</f>
        <v>22733505</v>
      </c>
      <c r="C17" s="14">
        <f>+'[1]ESF2016-2015'!$C$19</f>
        <v>287010068</v>
      </c>
      <c r="D17" s="15">
        <f>+'[1]ESF2018-2017 (3)'!$E$20</f>
        <v>276869834</v>
      </c>
      <c r="E17" s="14">
        <f>+'[1]ESF2018-2017 (3)'!$C$20</f>
        <v>600958502</v>
      </c>
      <c r="F17" s="15">
        <f>+'[2]ESF2019-2018 (4)'!$C$21</f>
        <v>1037231950</v>
      </c>
    </row>
    <row r="18" spans="1:9" x14ac:dyDescent="0.2">
      <c r="A18" s="5"/>
      <c r="B18" s="6"/>
      <c r="C18" s="6"/>
      <c r="D18" s="6"/>
      <c r="E18" s="6"/>
      <c r="F18" s="6"/>
    </row>
    <row r="19" spans="1:9" x14ac:dyDescent="0.2">
      <c r="A19" s="11" t="s">
        <v>2</v>
      </c>
      <c r="B19" s="6"/>
      <c r="C19" s="7"/>
      <c r="D19" s="6"/>
      <c r="E19" s="7"/>
      <c r="F19" s="6"/>
    </row>
    <row r="20" spans="1:9" x14ac:dyDescent="0.2">
      <c r="A20" s="12" t="str">
        <f>+[1]ESF2015!$A$23</f>
        <v>Propiedades,planta y equipos</v>
      </c>
      <c r="B20" s="15">
        <f>+[1]ESF2015!$C$23</f>
        <v>12524537000</v>
      </c>
      <c r="C20" s="14">
        <f>+'[1]ESF2016-2015'!$C$23</f>
        <v>12524537000</v>
      </c>
      <c r="D20" s="15">
        <f>+'[1]ESF2018-2017 (3)'!$E$25</f>
        <v>12526136000</v>
      </c>
      <c r="E20" s="14">
        <f>+'[1]ESF2018-2017 (3)'!$C$25</f>
        <v>12191159000</v>
      </c>
      <c r="F20" s="15">
        <f>+'[2]ESF2019-2018 (4)'!$C$30</f>
        <v>12277333841</v>
      </c>
      <c r="H20" s="126" t="s">
        <v>50</v>
      </c>
      <c r="I20" s="6">
        <f>+F26</f>
        <v>13314565791</v>
      </c>
    </row>
    <row r="21" spans="1:9" x14ac:dyDescent="0.2">
      <c r="A21" s="5" t="str">
        <f>+[1]ESF2015!$A$24</f>
        <v>Terrenos</v>
      </c>
      <c r="B21" s="6">
        <f>+[1]ESF2015!$C$24</f>
        <v>12472537000</v>
      </c>
      <c r="C21" s="7">
        <f>+'[1]ESF2016-2015'!$C$24</f>
        <v>12472537000</v>
      </c>
      <c r="D21" s="6">
        <f>+'[1]ESF2018-2017 (3)'!$E$26</f>
        <v>12472537000</v>
      </c>
      <c r="E21" s="7">
        <f>+'[1]ESF2018-2017 (3)'!$C$26</f>
        <v>12137560000</v>
      </c>
      <c r="F21" s="6">
        <f>+'[2]ESF2019-2018 (4)'!$C$31</f>
        <v>12223734841</v>
      </c>
      <c r="H21" s="126" t="s">
        <v>51</v>
      </c>
      <c r="I21" s="6">
        <f>+F51</f>
        <v>3345125445</v>
      </c>
    </row>
    <row r="22" spans="1:9" x14ac:dyDescent="0.2">
      <c r="A22" s="5" t="str">
        <f>+[1]ESF2015!$A$25</f>
        <v>Flota y Equipo de Transporte</v>
      </c>
      <c r="B22" s="6">
        <f>+[1]ESF2015!$C$25</f>
        <v>52000000</v>
      </c>
      <c r="C22" s="7">
        <f>+'[1]ESF2016-2015'!$C$25</f>
        <v>52000000</v>
      </c>
      <c r="D22" s="6">
        <f>+'[1]ESF2018-2017 (3)'!$E$27</f>
        <v>52000000</v>
      </c>
      <c r="E22" s="7">
        <f>+'[1]ESF2018-2017 (3)'!$C$27</f>
        <v>52000000</v>
      </c>
      <c r="F22" s="6">
        <f>+'[2]ESF2019-2018 (4)'!$C$32</f>
        <v>52000000</v>
      </c>
      <c r="H22" s="126" t="s">
        <v>52</v>
      </c>
      <c r="I22" s="6">
        <f>+F63</f>
        <v>9969440346</v>
      </c>
    </row>
    <row r="23" spans="1:9" x14ac:dyDescent="0.2">
      <c r="A23" s="5" t="str">
        <f>+'[1]ESF2018-2017 (3)'!$A$28</f>
        <v>Equipo de Computacion y Comunicación</v>
      </c>
      <c r="B23" s="6"/>
      <c r="C23" s="7"/>
      <c r="D23" s="6">
        <f>+'[1]ESF2018-2017 (3)'!$E$28</f>
        <v>1599000</v>
      </c>
      <c r="E23" s="7">
        <f>+'[1]ESF2018-2017 (3)'!$C$28</f>
        <v>1599000</v>
      </c>
      <c r="F23" s="6">
        <f>+'[2]ESF2019-2018 (4)'!$C$33</f>
        <v>1599000</v>
      </c>
    </row>
    <row r="24" spans="1:9" x14ac:dyDescent="0.2">
      <c r="A24" s="12" t="str">
        <f>+[1]ESF2015!$A$26</f>
        <v>Total Activos no corriente</v>
      </c>
      <c r="B24" s="15">
        <f>+[1]ESF2015!$C$26</f>
        <v>12524537000</v>
      </c>
      <c r="C24" s="14">
        <f>+'[1]ESF2016-2015'!$C$26</f>
        <v>12524537000</v>
      </c>
      <c r="D24" s="15">
        <f>+'[1]ESF2018-2017 (3)'!$E$29</f>
        <v>12526136000</v>
      </c>
      <c r="E24" s="14">
        <f>+'[1]ESF2018-2017 (3)'!$C$29</f>
        <v>12191159000</v>
      </c>
      <c r="F24" s="15">
        <f>+'[2]ESF2019-2018 (4)'!$C$34</f>
        <v>12277333841</v>
      </c>
    </row>
    <row r="25" spans="1:9" x14ac:dyDescent="0.2">
      <c r="A25" s="5"/>
      <c r="B25" s="6"/>
      <c r="C25" s="6"/>
      <c r="D25" s="6"/>
      <c r="E25" s="6"/>
      <c r="F25" s="6"/>
    </row>
    <row r="26" spans="1:9" x14ac:dyDescent="0.2">
      <c r="A26" s="98" t="s">
        <v>3</v>
      </c>
      <c r="B26" s="99">
        <f>+[1]ESF2015!$C$33</f>
        <v>12547270505</v>
      </c>
      <c r="C26" s="99">
        <f>+'[1]ESF2016-2015'!$C$40</f>
        <v>12811547068</v>
      </c>
      <c r="D26" s="99">
        <f>+'[1]ESF2018-2017 (3)'!$E$43</f>
        <v>12803005834</v>
      </c>
      <c r="E26" s="99">
        <f>+'[1]ESF2018-2017 (3)'!$C$43</f>
        <v>12792117502</v>
      </c>
      <c r="F26" s="99">
        <f>+'[2]ESF2019-2018 (4)'!$C$48</f>
        <v>13314565791</v>
      </c>
    </row>
    <row r="27" spans="1:9" x14ac:dyDescent="0.2">
      <c r="A27" s="5"/>
      <c r="B27" s="6"/>
      <c r="C27" s="7"/>
      <c r="D27" s="6"/>
      <c r="E27" s="7"/>
      <c r="F27" s="6"/>
    </row>
    <row r="28" spans="1:9" x14ac:dyDescent="0.2">
      <c r="A28" s="8" t="s">
        <v>4</v>
      </c>
      <c r="B28" s="6"/>
      <c r="C28" s="7"/>
      <c r="D28" s="6"/>
      <c r="E28" s="7"/>
      <c r="F28" s="6"/>
    </row>
    <row r="29" spans="1:9" x14ac:dyDescent="0.2">
      <c r="A29" s="8"/>
      <c r="B29" s="6"/>
      <c r="C29" s="7"/>
      <c r="D29" s="6"/>
      <c r="E29" s="7"/>
      <c r="F29" s="6"/>
    </row>
    <row r="30" spans="1:9" x14ac:dyDescent="0.2">
      <c r="A30" s="11" t="s">
        <v>1</v>
      </c>
      <c r="B30" s="6"/>
      <c r="C30" s="7"/>
      <c r="D30" s="6"/>
      <c r="E30" s="7"/>
      <c r="F30" s="6"/>
    </row>
    <row r="31" spans="1:9" x14ac:dyDescent="0.2">
      <c r="A31" s="11" t="str">
        <f>+[1]ESF2015!$E$9</f>
        <v>Cuentas comerciales por pagar y otras cuentas comerciales por pagar</v>
      </c>
      <c r="B31" s="15">
        <f>+[1]ESF2015!$H$9</f>
        <v>202075505</v>
      </c>
      <c r="C31" s="14">
        <f>+'[1]ESF2016-2015'!$J$10</f>
        <v>330743060</v>
      </c>
      <c r="D31" s="15">
        <f>+'[1]ESF2018-2017 (3)'!$L$10</f>
        <v>341636022</v>
      </c>
      <c r="E31" s="14">
        <f>+'[1]ESF2018-2017 (3)'!$J$10</f>
        <v>1183319291</v>
      </c>
      <c r="F31" s="15">
        <f>+'[2]ESF2019-2018 (4)'!$J$10</f>
        <v>2004229593</v>
      </c>
    </row>
    <row r="32" spans="1:9" x14ac:dyDescent="0.2">
      <c r="A32" s="5" t="str">
        <f>+[1]ESF2015!$E$10</f>
        <v>Costos y Gastos por Pagar</v>
      </c>
      <c r="B32" s="6">
        <f>+[1]ESF2015!$H$10</f>
        <v>2075505</v>
      </c>
      <c r="C32" s="7">
        <f>+'[1]ESF2016-2015'!$J$11</f>
        <v>743060</v>
      </c>
      <c r="D32" s="6">
        <f>+'[1]ESF2018-2017 (3)'!$L$11</f>
        <v>11636022</v>
      </c>
      <c r="E32" s="7">
        <f>+'[1]ESF2018-2017 (3)'!$J$11</f>
        <v>16223691</v>
      </c>
      <c r="F32" s="6">
        <f>+'[2]ESF2019-2018 (4)'!$J$11</f>
        <v>357872202</v>
      </c>
    </row>
    <row r="33" spans="1:11" x14ac:dyDescent="0.2">
      <c r="A33" s="5" t="str">
        <f>+'[1]ESF2016-2015'!$G$12</f>
        <v>Deuda con Accionistas o Socios</v>
      </c>
      <c r="B33" s="6"/>
      <c r="C33" s="7">
        <f>+'[1]ESF2016-2015'!$J$12</f>
        <v>130000000</v>
      </c>
      <c r="D33" s="6">
        <f>+'[1]ESF2018-2017 (3)'!$L$12</f>
        <v>130000000</v>
      </c>
      <c r="E33" s="7">
        <f>+'[1]ESF2018-2017 (3)'!$J$12</f>
        <v>130000000</v>
      </c>
      <c r="F33" s="6">
        <f>+'[2]ESF2019-2018 (4)'!$J$12</f>
        <v>363795000</v>
      </c>
    </row>
    <row r="34" spans="1:11" x14ac:dyDescent="0.2">
      <c r="A34" s="5" t="str">
        <f>+[1]ESF2015!$E$11</f>
        <v>Dividendos o Participaciones por Pagar</v>
      </c>
      <c r="B34" s="6">
        <f>+[1]ESF2015!$H$11</f>
        <v>200000000</v>
      </c>
      <c r="C34" s="7">
        <f>+'[1]ESF2016-2015'!$J$13</f>
        <v>200000000</v>
      </c>
      <c r="D34" s="6">
        <f>+'[1]ESF2018-2017 (3)'!$L$13</f>
        <v>200000000</v>
      </c>
      <c r="E34" s="7">
        <f>+'[1]ESF2018-2017 (3)'!$J$13</f>
        <v>200000000</v>
      </c>
      <c r="F34" s="6">
        <f>+'[2]ESF2019-2018 (4)'!$J$13</f>
        <v>200000000</v>
      </c>
    </row>
    <row r="35" spans="1:11" x14ac:dyDescent="0.2">
      <c r="A35" s="5" t="str">
        <f>+'[2]ESF2019-2018 (4)'!$G$14</f>
        <v>Retencion en la Fuente</v>
      </c>
      <c r="B35" s="6"/>
      <c r="C35" s="7"/>
      <c r="D35" s="6"/>
      <c r="E35" s="7"/>
      <c r="F35" s="6">
        <f>+'[2]ESF2019-2018 (4)'!$J$14</f>
        <v>270391</v>
      </c>
    </row>
    <row r="36" spans="1:11" x14ac:dyDescent="0.2">
      <c r="A36" s="5" t="str">
        <f>+'[2]ESF2019-2018 (4)'!$G$15</f>
        <v>Retenciones y Aportes de Nomina</v>
      </c>
      <c r="B36" s="6"/>
      <c r="C36" s="7"/>
      <c r="D36" s="6"/>
      <c r="E36" s="7"/>
      <c r="F36" s="6">
        <f>+'[2]ESF2019-2018 (4)'!$J$15</f>
        <v>415200</v>
      </c>
    </row>
    <row r="37" spans="1:11" x14ac:dyDescent="0.2">
      <c r="A37" s="27" t="str">
        <f>+'[1]ESF2018-2017 (3)'!$G$14</f>
        <v>Acreedores Varios</v>
      </c>
      <c r="B37" s="132"/>
      <c r="C37" s="133"/>
      <c r="D37" s="132"/>
      <c r="E37" s="133">
        <f>+'[1]ESF2018-2017 (3)'!$J$14</f>
        <v>837095600</v>
      </c>
      <c r="F37" s="132">
        <f>+'[2]ESF2019-2018 (4)'!$J$16</f>
        <v>1081876800</v>
      </c>
    </row>
    <row r="38" spans="1:11" x14ac:dyDescent="0.2">
      <c r="A38" s="12" t="str">
        <f>+[1]ESF2015!$E$12</f>
        <v>Impuestos, gravámenes, tasas</v>
      </c>
      <c r="B38" s="15">
        <f>+[1]ESF2015!$H$12</f>
        <v>7311000</v>
      </c>
      <c r="C38" s="14">
        <f>+'[1]ESF2016-2015'!$J$14</f>
        <v>17163000</v>
      </c>
      <c r="D38" s="15">
        <f>+'[1]ESF2018-2017 (3)'!$L$15</f>
        <v>29811000</v>
      </c>
      <c r="E38" s="14">
        <f>+'[1]ESF2018-2017 (3)'!$J$15</f>
        <v>54928000</v>
      </c>
      <c r="F38" s="15">
        <f>+'[2]ESF2019-2018 (4)'!$J$17</f>
        <v>214494217</v>
      </c>
    </row>
    <row r="39" spans="1:11" x14ac:dyDescent="0.2">
      <c r="A39" s="5" t="str">
        <f>+[1]ESF2015!$E$13</f>
        <v>De Renta  y Complementario</v>
      </c>
      <c r="B39" s="6">
        <f>+[1]ESF2015!$H$13</f>
        <v>5376000</v>
      </c>
      <c r="C39" s="7">
        <f>+'[1]ESF2016-2015'!$J$15</f>
        <v>12620000</v>
      </c>
      <c r="D39" s="6">
        <f>+'[1]ESF2018-2017 (3)'!$L$16</f>
        <v>25268000</v>
      </c>
      <c r="E39" s="7">
        <f>+'[1]ESF2018-2017 (3)'!$J$16</f>
        <v>38501000</v>
      </c>
      <c r="F39" s="6">
        <f>+'[2]ESF2019-2018 (4)'!$J$18</f>
        <v>38501000</v>
      </c>
    </row>
    <row r="40" spans="1:11" x14ac:dyDescent="0.2">
      <c r="A40" s="5" t="str">
        <f>+[1]ESF2015!$E$14</f>
        <v>De Renta para la Equidad - CREE</v>
      </c>
      <c r="B40" s="6">
        <f>+[1]ESF2015!$H$14</f>
        <v>1935000</v>
      </c>
      <c r="C40" s="7">
        <f>+'[1]ESF2016-2015'!$J$16</f>
        <v>4543000</v>
      </c>
      <c r="D40" s="6">
        <f>+'[1]ESF2018-2017 (3)'!$L$17</f>
        <v>4543000</v>
      </c>
      <c r="E40" s="7">
        <f>+'[1]ESF2018-2017 (3)'!$J$17</f>
        <v>4543000</v>
      </c>
      <c r="F40" s="6">
        <f>+'[2]ESF2019-2018 (4)'!$J$19</f>
        <v>4543000</v>
      </c>
    </row>
    <row r="41" spans="1:11" x14ac:dyDescent="0.2">
      <c r="A41" s="5" t="str">
        <f>+'[1]ESF2018-2017 (3)'!$G$18</f>
        <v>Impuesto Ganancia Ocasional</v>
      </c>
      <c r="B41" s="6"/>
      <c r="C41" s="7"/>
      <c r="D41" s="6"/>
      <c r="E41" s="7">
        <f>+'[1]ESF2018-2017 (3)'!$J$18</f>
        <v>11884000</v>
      </c>
      <c r="F41" s="6">
        <f>+'[2]ESF2019-2018 (4)'!$J$20</f>
        <v>11884000</v>
      </c>
    </row>
    <row r="42" spans="1:11" x14ac:dyDescent="0.2">
      <c r="A42" s="5" t="str">
        <f>+'[2]ESF2019-2018 (4)'!$G$21</f>
        <v>Impuesto a la Propiedad Raiz</v>
      </c>
      <c r="B42" s="6"/>
      <c r="C42" s="7"/>
      <c r="D42" s="6"/>
      <c r="E42" s="7"/>
      <c r="F42" s="6">
        <f>+'[2]ESF2019-2018 (4)'!$J$21</f>
        <v>159566217</v>
      </c>
      <c r="K42" s="66"/>
    </row>
    <row r="43" spans="1:11" x14ac:dyDescent="0.2">
      <c r="A43" s="5" t="str">
        <f>+'[2]ESF2019-2018 (4)'!$G$22</f>
        <v>Beneficios a los Empleados</v>
      </c>
      <c r="B43" s="6"/>
      <c r="C43" s="6"/>
      <c r="D43" s="6"/>
      <c r="E43" s="6"/>
      <c r="F43" s="6">
        <f>+'[2]ESF2019-2018 (4)'!$J$22</f>
        <v>3033622</v>
      </c>
      <c r="J43" s="66"/>
    </row>
    <row r="44" spans="1:11" x14ac:dyDescent="0.2">
      <c r="A44" s="12" t="str">
        <f>+[1]ESF2015!$E$15</f>
        <v>Total del pasivo corriente</v>
      </c>
      <c r="B44" s="15">
        <f>+[1]ESF2015!$H$15</f>
        <v>209386505</v>
      </c>
      <c r="C44" s="14">
        <f>+'[1]ESF2016-2015'!$J$17</f>
        <v>347906060</v>
      </c>
      <c r="D44" s="15">
        <f>+'[1]ESF2018-2017 (3)'!$L$19</f>
        <v>371447022</v>
      </c>
      <c r="E44" s="14">
        <f>+'[1]ESF2018-2017 (3)'!$J$19</f>
        <v>1238247291</v>
      </c>
      <c r="F44" s="15">
        <f>+'[2]ESF2019-2018 (4)'!$J$24</f>
        <v>2221757432</v>
      </c>
    </row>
    <row r="45" spans="1:11" x14ac:dyDescent="0.2">
      <c r="A45" s="11" t="s">
        <v>2</v>
      </c>
      <c r="B45" s="6"/>
      <c r="C45" s="7"/>
      <c r="D45" s="6"/>
      <c r="E45" s="7"/>
      <c r="F45" s="6"/>
    </row>
    <row r="46" spans="1:11" x14ac:dyDescent="0.2">
      <c r="A46" s="12" t="str">
        <f>+[1]ESF2015!$E$17</f>
        <v>Diferidos</v>
      </c>
      <c r="B46" s="15">
        <f>+[1]ESF2015!$H$17</f>
        <v>1138830584</v>
      </c>
      <c r="C46" s="14">
        <f>+'[1]ESF2016-2015'!$J$20</f>
        <v>1130494565</v>
      </c>
      <c r="D46" s="15">
        <f>+'[1]ESF2018-2017 (3)'!$L$23</f>
        <v>1126428979</v>
      </c>
      <c r="E46" s="14">
        <f>+'[1]ESF2018-2017 (3)'!$J$23</f>
        <v>1114725386</v>
      </c>
      <c r="F46" s="15">
        <f>+'[2]ESF2019-2018 (4)'!$J$28</f>
        <v>1114725386</v>
      </c>
    </row>
    <row r="47" spans="1:11" x14ac:dyDescent="0.2">
      <c r="A47" s="5" t="str">
        <f>+[1]ESF2015!$E$18</f>
        <v>Impuesto diferido</v>
      </c>
      <c r="B47" s="6">
        <f>+[1]ESF2015!$H$18</f>
        <v>1138830584</v>
      </c>
      <c r="C47" s="7">
        <f>+'[1]ESF2016-2015'!$J$21</f>
        <v>1130494565</v>
      </c>
      <c r="D47" s="6">
        <f>+'[1]ESF2018-2017 (3)'!$L$24</f>
        <v>1126428979</v>
      </c>
      <c r="E47" s="7">
        <f>+'[1]ESF2018-2017 (3)'!$J$24</f>
        <v>1114725386</v>
      </c>
      <c r="F47" s="6">
        <f>+'[2]ESF2019-2018 (4)'!$J$29</f>
        <v>1114725386</v>
      </c>
    </row>
    <row r="48" spans="1:11" x14ac:dyDescent="0.2">
      <c r="A48" s="5" t="str">
        <f>+'[1]ESF2016-2015'!$G$23</f>
        <v>Anticipo y avances recibidos</v>
      </c>
      <c r="B48" s="6"/>
      <c r="C48" s="7">
        <f>+'[1]ESF2016-2015'!$J$23</f>
        <v>106634196</v>
      </c>
      <c r="D48" s="6">
        <f>+'[1]ESF2018-2017 (3)'!$L$25</f>
        <v>50000000</v>
      </c>
      <c r="E48" s="7">
        <f>+'[1]ESF2018-2017 (3)'!$J$25</f>
        <v>45000000</v>
      </c>
      <c r="F48" s="6">
        <f>+'[2]ESF2019-2018 (4)'!$J$31</f>
        <v>8642627</v>
      </c>
    </row>
    <row r="49" spans="1:9" x14ac:dyDescent="0.2">
      <c r="A49" s="12" t="str">
        <f>+[1]ESF2015!$E$19</f>
        <v>Total pasivos no corriente</v>
      </c>
      <c r="B49" s="15">
        <f>+'[1]ESF2016-2015'!$L$24</f>
        <v>1138830584</v>
      </c>
      <c r="C49" s="15">
        <f>+'[1]ESF2016-2015'!$J$24</f>
        <v>1237128761</v>
      </c>
      <c r="D49" s="15">
        <f>+'[1]ESF2018-2017 (3)'!$L$27</f>
        <v>1176428979</v>
      </c>
      <c r="E49" s="15">
        <f>+'[1]ESF2018-2017 (3)'!$J$27</f>
        <v>1159725386</v>
      </c>
      <c r="F49" s="15">
        <f>+'[2]ESF2019-2018 (4)'!$J$32</f>
        <v>1123368013</v>
      </c>
    </row>
    <row r="50" spans="1:9" x14ac:dyDescent="0.2">
      <c r="A50" s="12"/>
      <c r="B50" s="15"/>
      <c r="C50" s="15"/>
      <c r="D50" s="15"/>
      <c r="E50" s="15"/>
      <c r="F50" s="15"/>
      <c r="I50" s="118"/>
    </row>
    <row r="51" spans="1:9" x14ac:dyDescent="0.2">
      <c r="A51" s="98" t="s">
        <v>5</v>
      </c>
      <c r="B51" s="99">
        <f>+[1]ESF2015!$H$20</f>
        <v>1348217089</v>
      </c>
      <c r="C51" s="99">
        <f>+'[1]ESF2016-2015'!$J$26</f>
        <v>1585034821</v>
      </c>
      <c r="D51" s="99">
        <f>+'[1]ESF2018-2017 (3)'!$L$29</f>
        <v>1547876001</v>
      </c>
      <c r="E51" s="99">
        <f>+'[1]ESF2018-2017 (3)'!$J$29</f>
        <v>2397972677</v>
      </c>
      <c r="F51" s="99">
        <f>+'[2]ESF2019-2018 (4)'!$J$34</f>
        <v>3345125445</v>
      </c>
    </row>
    <row r="52" spans="1:9" x14ac:dyDescent="0.2">
      <c r="A52" s="5"/>
      <c r="B52" s="6"/>
      <c r="C52" s="7"/>
      <c r="D52" s="6"/>
      <c r="E52" s="7"/>
      <c r="F52" s="6"/>
    </row>
    <row r="53" spans="1:9" x14ac:dyDescent="0.2">
      <c r="A53" s="8" t="s">
        <v>6</v>
      </c>
      <c r="B53" s="6"/>
      <c r="C53" s="7"/>
      <c r="D53" s="6"/>
      <c r="E53" s="7"/>
      <c r="F53" s="6"/>
    </row>
    <row r="54" spans="1:9" x14ac:dyDescent="0.2">
      <c r="A54" s="12" t="str">
        <f>+[1]ESF2015!$E$23</f>
        <v>Capital social</v>
      </c>
      <c r="B54" s="15">
        <f>+[1]ESF2015!$H$23</f>
        <v>320000000</v>
      </c>
      <c r="C54" s="14">
        <f>+'[1]ESF2016-2015'!$J$29</f>
        <v>320000000</v>
      </c>
      <c r="D54" s="15">
        <f>+'[1]ESF2018-2017 (3)'!$L$34</f>
        <v>320000000</v>
      </c>
      <c r="E54" s="14">
        <f>+'[1]ESF2018-2017 (3)'!$J$33</f>
        <v>320000000</v>
      </c>
      <c r="F54" s="15">
        <f>+'[2]ESF2019-2018 (4)'!$J$38</f>
        <v>320000000</v>
      </c>
    </row>
    <row r="55" spans="1:9" x14ac:dyDescent="0.2">
      <c r="A55" s="5" t="str">
        <f>+[1]ESF2015!$E$24</f>
        <v>Capital Suscrito y Pagado</v>
      </c>
      <c r="B55" s="6">
        <f>+[1]ESF2015!$H$24</f>
        <v>320000000</v>
      </c>
      <c r="C55" s="7">
        <f>+'[1]ESF2016-2015'!$J$30</f>
        <v>320000000</v>
      </c>
      <c r="D55" s="6">
        <f>+'[1]ESF2018-2017 (3)'!$L$34</f>
        <v>320000000</v>
      </c>
      <c r="E55" s="7">
        <f>+'[1]ESF2018-2017 (3)'!$J$34</f>
        <v>320000000</v>
      </c>
      <c r="F55" s="6">
        <f>+'[2]ESF2019-2018 (4)'!$J$39</f>
        <v>320000000</v>
      </c>
    </row>
    <row r="56" spans="1:9" x14ac:dyDescent="0.2">
      <c r="A56" s="12" t="str">
        <f>+[1]ESF2015!$E$25</f>
        <v>Ganancias o perdidas Retenidas</v>
      </c>
      <c r="B56" s="15">
        <f>+[1]ESF2015!$H$25</f>
        <v>-943983584</v>
      </c>
      <c r="C56" s="14">
        <f>+'[1]ESF2016-2015'!$J$31</f>
        <v>-916524753</v>
      </c>
      <c r="D56" s="15">
        <f>+'[1]ESF2018-2017 (3)'!$L$35</f>
        <v>-887907167</v>
      </c>
      <c r="E56" s="14">
        <f>+'[1]ESF2018-2017 (3)'!$J$35</f>
        <v>-1634845175</v>
      </c>
      <c r="F56" s="15">
        <f>+'[2]ESF2019-2018 (4)'!$J$40</f>
        <v>-2059549654</v>
      </c>
    </row>
    <row r="57" spans="1:9" x14ac:dyDescent="0.2">
      <c r="A57" s="5" t="str">
        <f>+'[1]ESF2016-2015'!$G$32</f>
        <v>Ganancias o Perdidas acumuladas</v>
      </c>
      <c r="B57" s="6">
        <f>+'[1]ESF2016-2015'!$L$32</f>
        <v>180654000</v>
      </c>
      <c r="C57" s="7">
        <f>+'[1]ESF2016-2015'!$J$32</f>
        <v>238320116</v>
      </c>
      <c r="D57" s="6">
        <f>+'[1]ESF2018-2017 (3)'!$L$36</f>
        <v>265778947</v>
      </c>
      <c r="E57" s="7">
        <f>+'[1]ESF2018-2017 (3)'!$J$36</f>
        <v>294396533</v>
      </c>
      <c r="F57" s="6">
        <f>+'[2]ESF2019-2018 (4)'!$J$41</f>
        <v>-452541475</v>
      </c>
    </row>
    <row r="58" spans="1:9" x14ac:dyDescent="0.2">
      <c r="A58" s="5" t="str">
        <f>+[1]ESF2015!$E$27</f>
        <v>Resultados del Ejercicio</v>
      </c>
      <c r="B58" s="6">
        <f>+[1]ESF2015!$H$27</f>
        <v>57666116</v>
      </c>
      <c r="C58" s="7">
        <f>+'[1]ESF2016-2015'!$J$33</f>
        <v>27458831</v>
      </c>
      <c r="D58" s="6">
        <f>+'[1]ESF2018-2017 (3)'!$L$37</f>
        <v>28617586</v>
      </c>
      <c r="E58" s="7">
        <f>+'[1]ESF2018-2017 (3)'!$J$37</f>
        <v>-746938008</v>
      </c>
      <c r="F58" s="6">
        <f>+'[2]ESF2019-2018 (4)'!$J$42</f>
        <v>-424704479</v>
      </c>
    </row>
    <row r="59" spans="1:9" x14ac:dyDescent="0.2">
      <c r="A59" s="5" t="str">
        <f>+[1]ESF2015!$E$28</f>
        <v>Ajustes por adopcion NIIF pymes</v>
      </c>
      <c r="B59" s="6">
        <f>+[1]ESF2015!$H$28</f>
        <v>-1182303700</v>
      </c>
      <c r="C59" s="7">
        <f>+'[1]ESF2016-2015'!$J$34</f>
        <v>-1182303700</v>
      </c>
      <c r="D59" s="6">
        <f>+'[1]ESF2018-2017 (3)'!$L$38</f>
        <v>-1182303700</v>
      </c>
      <c r="E59" s="7">
        <f>+'[1]ESF2018-2017 (3)'!$J$38</f>
        <v>-1182303700</v>
      </c>
      <c r="F59" s="6">
        <f>+'[2]ESF2019-2018 (4)'!$J$43</f>
        <v>-1182303700</v>
      </c>
    </row>
    <row r="60" spans="1:9" x14ac:dyDescent="0.2">
      <c r="A60" s="12" t="str">
        <f>+[1]ESF2015!$E$29</f>
        <v>Superavit por Valorizaciones</v>
      </c>
      <c r="B60" s="15">
        <f>+[1]ESF2015!$H$29</f>
        <v>11823037000</v>
      </c>
      <c r="C60" s="14">
        <f>+'[1]ESF2016-2015'!$J$35</f>
        <v>11823037000</v>
      </c>
      <c r="D60" s="15">
        <f>+'[1]ESF2018-2017 (3)'!$L$39</f>
        <v>11823037000</v>
      </c>
      <c r="E60" s="14">
        <f>+'[1]ESF2018-2017 (3)'!$J$39</f>
        <v>11708990000</v>
      </c>
      <c r="F60" s="15">
        <f>+'[2]ESF2019-2018 (4)'!$J$44</f>
        <v>11708990000</v>
      </c>
    </row>
    <row r="61" spans="1:9" x14ac:dyDescent="0.2">
      <c r="A61" s="5" t="str">
        <f>+[1]ESF2015!$E$30</f>
        <v>Valorizacion de Terrenos</v>
      </c>
      <c r="B61" s="6">
        <f>+[1]ESF2015!$H$30</f>
        <v>11823037000</v>
      </c>
      <c r="C61" s="7">
        <f>+'[1]ESF2016-2015'!$J$36</f>
        <v>11823037000</v>
      </c>
      <c r="D61" s="6">
        <f>+'[1]ESF2018-2017 (3)'!$L$40</f>
        <v>11823037000</v>
      </c>
      <c r="E61" s="7">
        <f>+'[1]ESF2018-2017 (3)'!$J$40</f>
        <v>11708990000</v>
      </c>
      <c r="F61" s="6">
        <f>+'[2]ESF2019-2018 (4)'!$J$45</f>
        <v>11708990000</v>
      </c>
    </row>
    <row r="62" spans="1:9" x14ac:dyDescent="0.2">
      <c r="A62" s="12"/>
      <c r="B62" s="6"/>
      <c r="C62" s="7"/>
      <c r="D62" s="6"/>
      <c r="E62" s="7"/>
      <c r="F62" s="6"/>
    </row>
    <row r="63" spans="1:9" x14ac:dyDescent="0.2">
      <c r="A63" s="98" t="s">
        <v>49</v>
      </c>
      <c r="B63" s="99">
        <f>+[1]ESF2015!$H$31</f>
        <v>11199053416</v>
      </c>
      <c r="C63" s="99">
        <f>+'[1]ESF2016-2015'!$J$37</f>
        <v>11226512247</v>
      </c>
      <c r="D63" s="99">
        <f>+'[1]ESF2018-2017 (3)'!$L$41</f>
        <v>11255129833</v>
      </c>
      <c r="E63" s="99">
        <f>+'[1]ESF2018-2017 (3)'!$J$41</f>
        <v>10394144825</v>
      </c>
      <c r="F63" s="99">
        <f>+'[2]ESF2019-2018 (4)'!$J$46</f>
        <v>9969440346</v>
      </c>
      <c r="G63" s="21">
        <f>2600/4</f>
        <v>650</v>
      </c>
    </row>
    <row r="64" spans="1:9" x14ac:dyDescent="0.2">
      <c r="A64" s="5"/>
      <c r="B64" s="6"/>
      <c r="C64" s="7"/>
      <c r="D64" s="6"/>
      <c r="E64" s="7"/>
      <c r="F64" s="6"/>
    </row>
    <row r="65" spans="1:6" x14ac:dyDescent="0.2">
      <c r="A65" s="98" t="s">
        <v>119</v>
      </c>
      <c r="B65" s="99">
        <f>+[1]ESF2015!$H$33</f>
        <v>12547270505</v>
      </c>
      <c r="C65" s="99">
        <f>+'[1]ESF2016-2015'!$J$40</f>
        <v>12811547068</v>
      </c>
      <c r="D65" s="99">
        <f>+'[1]ESF2018-2017 (3)'!$L$43</f>
        <v>12803005834</v>
      </c>
      <c r="E65" s="99">
        <f>+'[1]ESF2018-2017 (3)'!$J$43</f>
        <v>12792117502</v>
      </c>
      <c r="F65" s="99">
        <f>+'[2]ESF2019-2018 (4)'!$J$48</f>
        <v>13314565791</v>
      </c>
    </row>
    <row r="66" spans="1:6" x14ac:dyDescent="0.2">
      <c r="B66" s="21"/>
      <c r="C66" s="21"/>
      <c r="D66" s="21"/>
      <c r="E66" s="21"/>
      <c r="F66" s="21"/>
    </row>
    <row r="75" spans="1:6" ht="24.75" customHeight="1" x14ac:dyDescent="0.2"/>
    <row r="76" spans="1:6" ht="46.5" customHeight="1" x14ac:dyDescent="0.2"/>
    <row r="78" spans="1:6" ht="26.25" customHeight="1" x14ac:dyDescent="0.2"/>
  </sheetData>
  <mergeCells count="1">
    <mergeCell ref="A1:F1"/>
  </mergeCells>
  <phoneticPr fontId="5" type="noConversion"/>
  <pageMargins left="0.7" right="0.7" top="0.75" bottom="0.75" header="0.3" footer="0.3"/>
  <pageSetup paperSize="5" orientation="portrait" horizontalDpi="200" verticalDpi="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showGridLines="0" zoomScale="115" zoomScaleNormal="115" workbookViewId="0">
      <pane xSplit="1" ySplit="4" topLeftCell="B11" activePane="bottomRight" state="frozen"/>
      <selection activeCell="B21" sqref="B21"/>
      <selection pane="topRight" activeCell="B21" sqref="B21"/>
      <selection pane="bottomLeft" activeCell="B21" sqref="B21"/>
      <selection pane="bottomRight" activeCell="E49" sqref="E49:E52"/>
    </sheetView>
  </sheetViews>
  <sheetFormatPr baseColWidth="10" defaultRowHeight="12.75" x14ac:dyDescent="0.2"/>
  <cols>
    <col min="1" max="1" width="37" style="21" bestFit="1" customWidth="1"/>
    <col min="2" max="2" width="16.85546875" style="21" customWidth="1"/>
    <col min="3" max="3" width="18.28515625" style="21" customWidth="1"/>
    <col min="4" max="6" width="17.5703125" style="21" customWidth="1"/>
    <col min="7" max="7" width="11.85546875" style="21" bestFit="1" customWidth="1"/>
    <col min="8" max="16384" width="11.42578125" style="21"/>
  </cols>
  <sheetData>
    <row r="1" spans="1:6" ht="51" customHeight="1" x14ac:dyDescent="0.25">
      <c r="A1" s="164" t="s">
        <v>125</v>
      </c>
      <c r="B1" s="165"/>
      <c r="C1" s="165"/>
      <c r="D1" s="165"/>
      <c r="E1" s="165"/>
      <c r="F1" s="165"/>
    </row>
    <row r="3" spans="1:6" x14ac:dyDescent="0.2">
      <c r="A3" s="121"/>
      <c r="B3" s="119" t="s">
        <v>53</v>
      </c>
      <c r="C3" s="120" t="s">
        <v>54</v>
      </c>
      <c r="D3" s="119" t="s">
        <v>55</v>
      </c>
      <c r="E3" s="120" t="s">
        <v>56</v>
      </c>
      <c r="F3" s="119" t="s">
        <v>57</v>
      </c>
    </row>
    <row r="4" spans="1:6" x14ac:dyDescent="0.2">
      <c r="A4" s="23"/>
      <c r="B4" s="89"/>
      <c r="C4" s="89"/>
      <c r="D4" s="89"/>
      <c r="E4" s="89"/>
      <c r="F4" s="89"/>
    </row>
    <row r="5" spans="1:6" x14ac:dyDescent="0.2">
      <c r="A5" s="22" t="s">
        <v>69</v>
      </c>
      <c r="B5" s="90"/>
      <c r="C5" s="91"/>
      <c r="D5" s="91"/>
      <c r="E5" s="91"/>
      <c r="F5" s="91"/>
    </row>
    <row r="6" spans="1:6" x14ac:dyDescent="0.2">
      <c r="A6" s="23" t="s">
        <v>70</v>
      </c>
      <c r="B6" s="90">
        <v>131059624</v>
      </c>
      <c r="C6" s="91">
        <v>18552672</v>
      </c>
      <c r="D6" s="91">
        <v>317344277</v>
      </c>
      <c r="E6" s="91">
        <v>228638568</v>
      </c>
      <c r="F6" s="91">
        <v>94749128</v>
      </c>
    </row>
    <row r="7" spans="1:6" x14ac:dyDescent="0.2">
      <c r="A7" s="18" t="s">
        <v>71</v>
      </c>
      <c r="B7" s="92">
        <v>72050000</v>
      </c>
      <c r="C7" s="93">
        <v>0</v>
      </c>
      <c r="D7" s="93">
        <v>0</v>
      </c>
      <c r="E7" s="93">
        <v>0</v>
      </c>
      <c r="F7" s="93">
        <v>0</v>
      </c>
    </row>
    <row r="8" spans="1:6" x14ac:dyDescent="0.2">
      <c r="A8" s="22" t="s">
        <v>72</v>
      </c>
      <c r="B8" s="90"/>
      <c r="C8" s="91"/>
      <c r="D8" s="91"/>
      <c r="E8" s="91"/>
      <c r="F8" s="91"/>
    </row>
    <row r="9" spans="1:6" x14ac:dyDescent="0.2">
      <c r="A9" s="22" t="s">
        <v>48</v>
      </c>
      <c r="B9" s="90"/>
      <c r="C9" s="91"/>
      <c r="D9" s="91"/>
      <c r="E9" s="91"/>
      <c r="F9" s="91"/>
    </row>
    <row r="10" spans="1:6" x14ac:dyDescent="0.2">
      <c r="A10" s="23" t="s">
        <v>73</v>
      </c>
      <c r="B10" s="90">
        <v>114254000</v>
      </c>
      <c r="C10" s="91">
        <v>5893000</v>
      </c>
      <c r="D10" s="91">
        <v>268444384</v>
      </c>
      <c r="E10" s="91">
        <v>116037016</v>
      </c>
      <c r="F10" s="91">
        <v>65614518</v>
      </c>
    </row>
    <row r="11" spans="1:6" x14ac:dyDescent="0.2">
      <c r="A11" s="18" t="s">
        <v>114</v>
      </c>
      <c r="B11" s="90">
        <v>65500000</v>
      </c>
      <c r="C11" s="91">
        <v>0</v>
      </c>
      <c r="D11" s="91"/>
      <c r="E11" s="91"/>
      <c r="F11" s="91"/>
    </row>
    <row r="12" spans="1:6" x14ac:dyDescent="0.2">
      <c r="A12" s="17" t="s">
        <v>74</v>
      </c>
      <c r="B12" s="94">
        <v>23355624</v>
      </c>
      <c r="C12" s="95">
        <v>12659672</v>
      </c>
      <c r="D12" s="95">
        <v>48899893</v>
      </c>
      <c r="E12" s="95">
        <v>112601552</v>
      </c>
      <c r="F12" s="95">
        <v>29134610</v>
      </c>
    </row>
    <row r="13" spans="1:6" x14ac:dyDescent="0.2">
      <c r="A13" s="17" t="s">
        <v>72</v>
      </c>
      <c r="B13" s="90"/>
      <c r="C13" s="91"/>
      <c r="D13" s="91"/>
      <c r="E13" s="91"/>
      <c r="F13" s="91"/>
    </row>
    <row r="14" spans="1:6" x14ac:dyDescent="0.2">
      <c r="A14" s="17" t="s">
        <v>75</v>
      </c>
      <c r="B14" s="90"/>
      <c r="C14" s="91"/>
      <c r="D14" s="91"/>
      <c r="E14" s="91"/>
      <c r="F14" s="91"/>
    </row>
    <row r="15" spans="1:6" x14ac:dyDescent="0.2">
      <c r="A15" s="5" t="s">
        <v>101</v>
      </c>
      <c r="B15" s="91"/>
      <c r="C15" s="91"/>
      <c r="D15" s="91"/>
      <c r="E15" s="91"/>
      <c r="F15" s="91">
        <v>26821412</v>
      </c>
    </row>
    <row r="16" spans="1:6" x14ac:dyDescent="0.2">
      <c r="A16" s="18" t="s">
        <v>76</v>
      </c>
      <c r="B16" s="92">
        <v>0</v>
      </c>
      <c r="C16" s="93">
        <v>0</v>
      </c>
      <c r="D16" s="91"/>
      <c r="E16" s="93">
        <v>0</v>
      </c>
      <c r="F16" s="93"/>
    </row>
    <row r="17" spans="1:6" x14ac:dyDescent="0.2">
      <c r="A17" s="23" t="s">
        <v>77</v>
      </c>
      <c r="B17" s="90">
        <v>0</v>
      </c>
      <c r="C17" s="91">
        <v>0</v>
      </c>
      <c r="D17" s="91">
        <v>0</v>
      </c>
      <c r="E17" s="91">
        <v>0</v>
      </c>
      <c r="F17" s="91">
        <v>111600000</v>
      </c>
    </row>
    <row r="18" spans="1:6" x14ac:dyDescent="0.2">
      <c r="A18" s="23" t="s">
        <v>78</v>
      </c>
      <c r="B18" s="90">
        <f>+'[2]ERI2016-2015'!$F$29</f>
        <v>808881</v>
      </c>
      <c r="C18" s="91">
        <v>0</v>
      </c>
      <c r="D18" s="93">
        <v>737489</v>
      </c>
      <c r="E18" s="91">
        <v>1270640</v>
      </c>
      <c r="F18" s="91">
        <v>148231013</v>
      </c>
    </row>
    <row r="19" spans="1:6" x14ac:dyDescent="0.2">
      <c r="A19" s="96" t="s">
        <v>79</v>
      </c>
      <c r="B19" s="90">
        <v>0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18" t="s">
        <v>80</v>
      </c>
      <c r="B20" s="90">
        <v>0</v>
      </c>
      <c r="C20" s="91">
        <v>0</v>
      </c>
      <c r="D20" s="91">
        <v>0</v>
      </c>
      <c r="E20" s="91">
        <v>35762551</v>
      </c>
      <c r="F20" s="91">
        <v>0</v>
      </c>
    </row>
    <row r="21" spans="1:6" x14ac:dyDescent="0.2">
      <c r="A21" s="18" t="s">
        <v>81</v>
      </c>
      <c r="B21" s="91">
        <v>0</v>
      </c>
      <c r="C21" s="91">
        <v>0</v>
      </c>
      <c r="D21" s="91">
        <v>0</v>
      </c>
      <c r="E21" s="91">
        <v>44710</v>
      </c>
      <c r="F21" s="91">
        <v>0</v>
      </c>
    </row>
    <row r="22" spans="1:6" x14ac:dyDescent="0.2">
      <c r="A22" s="18" t="s">
        <v>82</v>
      </c>
      <c r="B22" s="91">
        <v>0</v>
      </c>
      <c r="C22" s="91">
        <v>0</v>
      </c>
      <c r="D22" s="91">
        <v>0</v>
      </c>
      <c r="E22" s="91">
        <v>5502565</v>
      </c>
      <c r="F22" s="91">
        <v>0</v>
      </c>
    </row>
    <row r="23" spans="1:6" x14ac:dyDescent="0.2">
      <c r="A23" s="18" t="s">
        <v>83</v>
      </c>
      <c r="B23" s="91">
        <v>0</v>
      </c>
      <c r="C23" s="91">
        <v>0</v>
      </c>
      <c r="D23" s="91">
        <v>0</v>
      </c>
      <c r="E23" s="91"/>
      <c r="F23" s="91">
        <v>0</v>
      </c>
    </row>
    <row r="24" spans="1:6" x14ac:dyDescent="0.2">
      <c r="A24" s="18" t="s">
        <v>84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23" t="s">
        <v>85</v>
      </c>
      <c r="B25" s="91">
        <v>694250</v>
      </c>
      <c r="C25" s="91">
        <v>0</v>
      </c>
      <c r="D25" s="91">
        <v>528900</v>
      </c>
      <c r="E25" s="91"/>
      <c r="F25" s="91">
        <v>1126950</v>
      </c>
    </row>
    <row r="26" spans="1:6" x14ac:dyDescent="0.2">
      <c r="A26" s="23" t="s">
        <v>80</v>
      </c>
      <c r="B26" s="94">
        <v>3860350</v>
      </c>
      <c r="C26" s="94">
        <v>0</v>
      </c>
      <c r="D26" s="94">
        <v>18567795</v>
      </c>
      <c r="E26" s="94"/>
      <c r="F26" s="94">
        <v>34401757</v>
      </c>
    </row>
    <row r="27" spans="1:6" x14ac:dyDescent="0.2">
      <c r="A27" s="5" t="s">
        <v>81</v>
      </c>
      <c r="B27" s="91">
        <v>9000</v>
      </c>
      <c r="C27" s="91">
        <v>0</v>
      </c>
      <c r="D27" s="91">
        <v>5200</v>
      </c>
      <c r="E27" s="91"/>
      <c r="F27" s="91">
        <v>3989500</v>
      </c>
    </row>
    <row r="28" spans="1:6" x14ac:dyDescent="0.2">
      <c r="A28" s="5" t="s">
        <v>82</v>
      </c>
      <c r="B28" s="91">
        <v>240000</v>
      </c>
      <c r="C28" s="91">
        <v>0</v>
      </c>
      <c r="D28" s="91">
        <v>0</v>
      </c>
      <c r="E28" s="91"/>
      <c r="F28" s="91">
        <f>+'[2]ERI2019-2018 (4)'!$C$34</f>
        <v>9635500</v>
      </c>
    </row>
    <row r="29" spans="1:6" x14ac:dyDescent="0.2">
      <c r="A29" s="5" t="s">
        <v>86</v>
      </c>
      <c r="B29" s="91">
        <v>12365360</v>
      </c>
      <c r="C29" s="91">
        <v>0</v>
      </c>
      <c r="D29" s="91">
        <v>8689452</v>
      </c>
      <c r="E29" s="91">
        <f>+'[2]ERI2018-2017 (3)'!$C$33</f>
        <v>54249643</v>
      </c>
      <c r="F29" s="91">
        <v>37375338</v>
      </c>
    </row>
    <row r="30" spans="1:6" x14ac:dyDescent="0.2">
      <c r="A30" s="5"/>
      <c r="B30" s="91"/>
      <c r="C30" s="91"/>
      <c r="D30" s="91"/>
      <c r="E30" s="91"/>
      <c r="F30" s="91"/>
    </row>
    <row r="31" spans="1:6" x14ac:dyDescent="0.2">
      <c r="A31" s="12" t="s">
        <v>87</v>
      </c>
      <c r="B31" s="95">
        <v>17977841</v>
      </c>
      <c r="C31" s="95">
        <v>0</v>
      </c>
      <c r="D31" s="95">
        <v>28528836</v>
      </c>
      <c r="E31" s="95">
        <f>+'[2]ERI2018-2017 (3)'!$C$35</f>
        <v>96830109</v>
      </c>
      <c r="F31" s="95">
        <v>373181128</v>
      </c>
    </row>
    <row r="32" spans="1:6" x14ac:dyDescent="0.2">
      <c r="A32" s="12"/>
      <c r="B32" s="95"/>
      <c r="C32" s="95"/>
      <c r="D32" s="95"/>
      <c r="E32" s="95"/>
      <c r="F32" s="95"/>
    </row>
    <row r="33" spans="1:6" x14ac:dyDescent="0.2">
      <c r="A33" s="12" t="s">
        <v>88</v>
      </c>
      <c r="B33" s="95">
        <v>5377783</v>
      </c>
      <c r="C33" s="95">
        <v>12659672</v>
      </c>
      <c r="D33" s="95">
        <v>20371057</v>
      </c>
      <c r="E33" s="95">
        <f>+'[2]ERI2018-2017 (3)'!$C$37</f>
        <v>15771443</v>
      </c>
      <c r="F33" s="95">
        <v>-344046518</v>
      </c>
    </row>
    <row r="34" spans="1:6" x14ac:dyDescent="0.2">
      <c r="A34" s="12"/>
      <c r="B34" s="91"/>
      <c r="C34" s="91"/>
      <c r="D34" s="91"/>
      <c r="E34" s="91"/>
      <c r="F34" s="91"/>
    </row>
    <row r="35" spans="1:6" x14ac:dyDescent="0.2">
      <c r="A35" s="12" t="s">
        <v>89</v>
      </c>
      <c r="B35" s="91"/>
      <c r="C35" s="91"/>
      <c r="D35" s="91"/>
      <c r="E35" s="91"/>
      <c r="F35" s="91"/>
    </row>
    <row r="36" spans="1:6" x14ac:dyDescent="0.2">
      <c r="A36" s="5" t="s">
        <v>90</v>
      </c>
      <c r="B36" s="91">
        <v>205433</v>
      </c>
      <c r="C36" s="91">
        <v>284830</v>
      </c>
      <c r="D36" s="91">
        <v>245174</v>
      </c>
      <c r="E36" s="91">
        <v>30030193</v>
      </c>
      <c r="F36" s="91">
        <v>84223551</v>
      </c>
    </row>
    <row r="37" spans="1:6" x14ac:dyDescent="0.2">
      <c r="A37" s="5" t="str">
        <f>+'[2]ERI2019-2018 (4)'!$A$43</f>
        <v>Extraordinarios</v>
      </c>
      <c r="B37" s="91"/>
      <c r="C37" s="91"/>
      <c r="D37" s="91"/>
      <c r="E37" s="91">
        <v>1000000000</v>
      </c>
      <c r="F37" s="91">
        <v>279103</v>
      </c>
    </row>
    <row r="38" spans="1:6" x14ac:dyDescent="0.2">
      <c r="A38" s="5" t="str">
        <f>+'[2]ERI2019-2018 (4)'!$A$44</f>
        <v>Diversos</v>
      </c>
      <c r="B38" s="91"/>
      <c r="C38" s="91"/>
      <c r="D38" s="91"/>
      <c r="E38" s="91">
        <v>22854600</v>
      </c>
      <c r="F38" s="91">
        <v>9941200</v>
      </c>
    </row>
    <row r="39" spans="1:6" x14ac:dyDescent="0.2">
      <c r="A39" s="12" t="s">
        <v>91</v>
      </c>
      <c r="B39" s="91"/>
      <c r="C39" s="91"/>
      <c r="D39" s="91"/>
      <c r="E39" s="91"/>
      <c r="F39" s="91"/>
    </row>
    <row r="40" spans="1:6" x14ac:dyDescent="0.2">
      <c r="A40" s="5" t="s">
        <v>92</v>
      </c>
      <c r="B40" s="91">
        <v>16321871</v>
      </c>
      <c r="C40" s="91">
        <v>16599969</v>
      </c>
      <c r="D40" s="91">
        <v>17074117</v>
      </c>
      <c r="E40" s="91">
        <v>17819799</v>
      </c>
      <c r="F40" s="91">
        <f>+'[2]ERI2019-2018 (4)'!$C$46</f>
        <v>13785480</v>
      </c>
    </row>
    <row r="41" spans="1:6" x14ac:dyDescent="0.2">
      <c r="A41" s="12" t="str">
        <f>+'[2]ERI2018-2017 (3)'!$A$45</f>
        <v>Utilidad en Venta de Propiedad</v>
      </c>
      <c r="B41" s="95"/>
      <c r="C41" s="95"/>
      <c r="D41" s="95"/>
      <c r="E41" s="95">
        <f>+'[2]ERI2018-2017 (3)'!$C$45</f>
        <v>279070000</v>
      </c>
      <c r="F41" s="95"/>
    </row>
    <row r="42" spans="1:6" x14ac:dyDescent="0.2">
      <c r="A42" s="5" t="str">
        <f>+'[2]ERI2018-2017 (3)'!$A$46</f>
        <v>Indemnizaciones</v>
      </c>
      <c r="B42" s="91"/>
      <c r="C42" s="91"/>
      <c r="D42" s="91"/>
      <c r="E42" s="91">
        <f>+'[2]ERI2018-2017 (3)'!$C$46</f>
        <v>6698950</v>
      </c>
      <c r="F42" s="91"/>
    </row>
    <row r="43" spans="1:6" x14ac:dyDescent="0.2">
      <c r="A43" s="5" t="s">
        <v>93</v>
      </c>
      <c r="B43" s="91">
        <v>9779</v>
      </c>
      <c r="C43" s="91">
        <v>1</v>
      </c>
      <c r="D43" s="91"/>
      <c r="E43" s="91"/>
      <c r="F43" s="91"/>
    </row>
    <row r="44" spans="1:6" x14ac:dyDescent="0.2">
      <c r="A44" s="5" t="str">
        <f>+'[2]ERI2019-2018 (4)'!$A$47</f>
        <v>Aprovechamientos</v>
      </c>
      <c r="B44" s="91"/>
      <c r="C44" s="91"/>
      <c r="D44" s="91">
        <v>0</v>
      </c>
      <c r="E44" s="91"/>
      <c r="F44" s="91">
        <v>413</v>
      </c>
    </row>
    <row r="45" spans="1:6" x14ac:dyDescent="0.2">
      <c r="A45" s="12" t="s">
        <v>94</v>
      </c>
      <c r="B45" s="95">
        <v>21504000</v>
      </c>
      <c r="C45" s="95">
        <v>28974812</v>
      </c>
      <c r="D45" s="95">
        <v>37200000</v>
      </c>
      <c r="E45" s="95">
        <f>+'[2]ERI2018-2017 (3)'!$C$48</f>
        <v>-733524601</v>
      </c>
      <c r="F45" s="95">
        <v>-424704479</v>
      </c>
    </row>
    <row r="46" spans="1:6" x14ac:dyDescent="0.2">
      <c r="A46" s="5"/>
      <c r="B46" s="91"/>
      <c r="C46" s="91"/>
      <c r="D46" s="91"/>
      <c r="E46" s="91"/>
      <c r="F46" s="91"/>
    </row>
    <row r="47" spans="1:6" x14ac:dyDescent="0.2">
      <c r="A47" s="12" t="s">
        <v>95</v>
      </c>
      <c r="B47" s="95"/>
      <c r="C47" s="95"/>
      <c r="D47" s="95"/>
      <c r="E47" s="95"/>
      <c r="F47" s="95"/>
    </row>
    <row r="48" spans="1:6" x14ac:dyDescent="0.2">
      <c r="A48" s="12" t="s">
        <v>96</v>
      </c>
      <c r="B48" s="95"/>
      <c r="C48" s="95"/>
      <c r="D48" s="95"/>
      <c r="E48" s="95"/>
      <c r="F48" s="95"/>
    </row>
    <row r="49" spans="1:6" x14ac:dyDescent="0.2">
      <c r="A49" s="5" t="s">
        <v>97</v>
      </c>
      <c r="B49" s="91">
        <v>5376000</v>
      </c>
      <c r="C49" s="91">
        <v>7244000</v>
      </c>
      <c r="D49" s="91">
        <v>12648000</v>
      </c>
      <c r="E49" s="91">
        <v>13233000</v>
      </c>
      <c r="F49" s="91"/>
    </row>
    <row r="50" spans="1:6" x14ac:dyDescent="0.2">
      <c r="A50" s="5" t="str">
        <f>+'[2]ERI2018-2017 (3)'!$A$53</f>
        <v>Impuesto Ganancia Ocasional</v>
      </c>
      <c r="B50" s="91"/>
      <c r="C50" s="91"/>
      <c r="D50" s="91"/>
      <c r="E50" s="91">
        <v>11884000</v>
      </c>
      <c r="F50" s="91"/>
    </row>
    <row r="51" spans="1:6" x14ac:dyDescent="0.2">
      <c r="A51" s="5" t="s">
        <v>98</v>
      </c>
      <c r="B51" s="91">
        <v>1935000</v>
      </c>
      <c r="C51" s="91">
        <v>2608000</v>
      </c>
      <c r="D51" s="91">
        <v>0</v>
      </c>
      <c r="E51" s="91"/>
      <c r="F51" s="91"/>
    </row>
    <row r="52" spans="1:6" x14ac:dyDescent="0.2">
      <c r="A52" s="5" t="s">
        <v>99</v>
      </c>
      <c r="B52" s="91">
        <v>-43473116</v>
      </c>
      <c r="C52" s="91">
        <v>-8336019</v>
      </c>
      <c r="D52" s="91">
        <v>-4065586</v>
      </c>
      <c r="E52" s="91">
        <f>+'[2]ERI2018-2017 (3)'!$C$54</f>
        <v>-11703593</v>
      </c>
      <c r="F52" s="91"/>
    </row>
    <row r="53" spans="1:6" x14ac:dyDescent="0.2">
      <c r="A53" s="5"/>
      <c r="B53" s="91"/>
      <c r="C53" s="91"/>
      <c r="D53" s="91"/>
      <c r="E53" s="91"/>
      <c r="F53" s="91"/>
    </row>
    <row r="54" spans="1:6" x14ac:dyDescent="0.2">
      <c r="A54" s="12" t="s">
        <v>100</v>
      </c>
      <c r="B54" s="95">
        <v>57666116</v>
      </c>
      <c r="C54" s="95">
        <v>27458831</v>
      </c>
      <c r="D54" s="95">
        <v>28617586</v>
      </c>
      <c r="E54" s="95">
        <f>+'[2]ERI2018-2017 (3)'!$C$56</f>
        <v>-746938008</v>
      </c>
      <c r="F54" s="95">
        <v>-424704479</v>
      </c>
    </row>
  </sheetData>
  <mergeCells count="1"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8"/>
  <sheetViews>
    <sheetView showGridLines="0" zoomScale="85" zoomScaleNormal="85" workbookViewId="0">
      <selection activeCell="C19" sqref="C19"/>
    </sheetView>
  </sheetViews>
  <sheetFormatPr baseColWidth="10" defaultRowHeight="15" x14ac:dyDescent="0.25"/>
  <cols>
    <col min="1" max="1" width="27.140625" customWidth="1"/>
    <col min="2" max="2" width="14.42578125" bestFit="1" customWidth="1"/>
    <col min="3" max="3" width="13.42578125" bestFit="1" customWidth="1"/>
    <col min="4" max="5" width="14.42578125" bestFit="1" customWidth="1"/>
    <col min="6" max="6" width="16.140625" bestFit="1" customWidth="1"/>
  </cols>
  <sheetData>
    <row r="1" spans="1:18" ht="45" customHeight="1" x14ac:dyDescent="0.25">
      <c r="A1" s="164" t="s">
        <v>123</v>
      </c>
      <c r="B1" s="165"/>
      <c r="C1" s="165"/>
      <c r="D1" s="165"/>
      <c r="E1" s="165"/>
      <c r="F1" s="165"/>
      <c r="H1" s="167" t="s">
        <v>128</v>
      </c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x14ac:dyDescent="0.25">
      <c r="A2" s="21"/>
    </row>
    <row r="3" spans="1:18" x14ac:dyDescent="0.25">
      <c r="A3" s="166" t="s">
        <v>116</v>
      </c>
      <c r="B3" s="166"/>
      <c r="C3" s="166"/>
      <c r="D3" s="166"/>
      <c r="E3" s="166"/>
      <c r="F3" s="166"/>
    </row>
    <row r="4" spans="1:18" hidden="1" x14ac:dyDescent="0.25">
      <c r="A4" s="122"/>
      <c r="B4" s="125">
        <v>2015</v>
      </c>
      <c r="C4" s="125">
        <v>2016</v>
      </c>
      <c r="D4" s="125">
        <v>2017</v>
      </c>
      <c r="E4" s="125">
        <v>2018</v>
      </c>
      <c r="F4" s="125">
        <v>2019</v>
      </c>
    </row>
    <row r="5" spans="1:18" x14ac:dyDescent="0.25">
      <c r="A5" s="115" t="s">
        <v>9</v>
      </c>
      <c r="B5" s="6">
        <f>+'1.Balances Generales'!B17-'1.Balances Generales'!B44</f>
        <v>-186653000</v>
      </c>
      <c r="C5" s="6">
        <f>+'1.Balances Generales'!C17-'1.Balances Generales'!C44</f>
        <v>-60895992</v>
      </c>
      <c r="D5" s="6">
        <f>+'1.Balances Generales'!D17-'1.Balances Generales'!D44</f>
        <v>-94577188</v>
      </c>
      <c r="E5" s="6">
        <f>+'1.Balances Generales'!E17-'1.Balances Generales'!E44</f>
        <v>-637288789</v>
      </c>
      <c r="F5" s="6">
        <f>+'1.Balances Generales'!F17-'1.Balances Generales'!F44</f>
        <v>-1184525482</v>
      </c>
    </row>
    <row r="6" spans="1:18" x14ac:dyDescent="0.25">
      <c r="A6" s="115" t="s">
        <v>10</v>
      </c>
      <c r="B6" s="67">
        <f>+('1.Balances Generales'!B17-'1.Balances Generales'!B14)/'1.Balances Generales'!B44</f>
        <v>0.10857196837971959</v>
      </c>
      <c r="C6" s="67">
        <f>+('1.Balances Generales'!C17-'1.Balances Generales'!C14)/'1.Balances Generales'!C44</f>
        <v>5.3364071899178758E-2</v>
      </c>
      <c r="D6" s="67">
        <f>+('1.Balances Generales'!D17-'1.Balances Generales'!D14)/'1.Balances Generales'!D44</f>
        <v>0.2173118943459991</v>
      </c>
      <c r="E6" s="67">
        <f>+('1.Balances Generales'!E17-'1.Balances Generales'!E14)/'1.Balances Generales'!E44</f>
        <v>0.30833416133837516</v>
      </c>
      <c r="F6" s="67">
        <f>+('1.Balances Generales'!F17-'1.Balances Generales'!F14)/'1.Balances Generales'!F44</f>
        <v>0.13434105888477568</v>
      </c>
    </row>
    <row r="7" spans="1:18" x14ac:dyDescent="0.25">
      <c r="A7" s="21"/>
      <c r="B7" s="63"/>
      <c r="C7" s="68"/>
      <c r="D7" s="63"/>
      <c r="E7" s="68"/>
      <c r="F7" s="63"/>
    </row>
    <row r="8" spans="1:18" hidden="1" x14ac:dyDescent="0.25">
      <c r="A8" s="21"/>
      <c r="B8" s="125">
        <v>2015</v>
      </c>
      <c r="C8" s="125">
        <v>2016</v>
      </c>
      <c r="D8" s="125">
        <v>2017</v>
      </c>
      <c r="E8" s="125">
        <v>2018</v>
      </c>
      <c r="F8" s="125">
        <v>2019</v>
      </c>
    </row>
    <row r="9" spans="1:18" x14ac:dyDescent="0.25">
      <c r="A9" s="115" t="s">
        <v>11</v>
      </c>
      <c r="B9" s="6">
        <f>+'1.Balances Generales'!B14+'1.Balances Generales'!B9-'1.Balances Generales'!B31</f>
        <v>-200210549</v>
      </c>
      <c r="C9" s="6">
        <f>+'1.Balances Generales'!C14+'1.Balances Generales'!C9-'1.Balances Generales'!C31</f>
        <v>-60424967</v>
      </c>
      <c r="D9" s="6">
        <f>+'1.Balances Generales'!D14+'1.Balances Generales'!D9-'1.Balances Generales'!D31</f>
        <v>-143612335</v>
      </c>
      <c r="E9" s="6">
        <f>+'1.Balances Generales'!E14+'1.Balances Generales'!E9-'1.Balances Generales'!E31</f>
        <v>-930960220</v>
      </c>
      <c r="F9" s="6">
        <f>+'1.Balances Generales'!F14+'1.Balances Generales'!F9-'1.Balances Generales'!F31</f>
        <v>-1261691780</v>
      </c>
    </row>
    <row r="10" spans="1:18" x14ac:dyDescent="0.25">
      <c r="A10" s="21"/>
      <c r="B10" s="125"/>
      <c r="C10" s="125"/>
      <c r="D10" s="125"/>
      <c r="E10" s="125"/>
      <c r="F10" s="125"/>
    </row>
    <row r="11" spans="1:18" x14ac:dyDescent="0.25">
      <c r="A11" s="115" t="s">
        <v>45</v>
      </c>
      <c r="B11" s="69">
        <f>+('2.Estado de resultados'!B6+'2.Estado de resultados'!B7)/'3.Indicadores Financieros'!B9</f>
        <v>-1.0144801311143701</v>
      </c>
      <c r="C11" s="69">
        <f>+('2.Estado de resultados'!C6+'2.Estado de resultados'!C7)/'3.Indicadores Financieros'!C9</f>
        <v>-0.30703652680521942</v>
      </c>
      <c r="D11" s="69">
        <f>+('2.Estado de resultados'!D6+'2.Estado de resultados'!D7)/'3.Indicadores Financieros'!D9</f>
        <v>-2.2097285515203136</v>
      </c>
      <c r="E11" s="69">
        <f>+('2.Estado de resultados'!E6+'2.Estado de resultados'!E7)/'3.Indicadores Financieros'!E9</f>
        <v>-0.24559434773700642</v>
      </c>
      <c r="F11" s="69">
        <f>+('2.Estado de resultados'!F6+'2.Estado de resultados'!F7)/'3.Indicadores Financieros'!F9</f>
        <v>-7.5096889352802162E-2</v>
      </c>
    </row>
    <row r="12" spans="1:18" x14ac:dyDescent="0.25">
      <c r="A12" s="21"/>
      <c r="B12" s="63"/>
      <c r="C12" s="63"/>
      <c r="D12" s="63"/>
      <c r="E12" s="63"/>
      <c r="F12" s="63"/>
    </row>
    <row r="13" spans="1:18" x14ac:dyDescent="0.25">
      <c r="A13" s="21"/>
      <c r="B13" s="63"/>
      <c r="C13" s="63"/>
      <c r="D13" s="63"/>
      <c r="E13" s="63"/>
      <c r="F13" s="63"/>
    </row>
    <row r="14" spans="1:18" x14ac:dyDescent="0.25">
      <c r="A14" s="166" t="s">
        <v>117</v>
      </c>
      <c r="B14" s="166"/>
      <c r="C14" s="166"/>
      <c r="D14" s="166"/>
      <c r="E14" s="166"/>
      <c r="F14" s="166"/>
    </row>
    <row r="15" spans="1:18" x14ac:dyDescent="0.25">
      <c r="A15" s="117" t="s">
        <v>23</v>
      </c>
      <c r="B15" s="48"/>
      <c r="C15" s="48"/>
      <c r="D15" s="48"/>
      <c r="E15" s="48"/>
      <c r="F15" s="48"/>
    </row>
    <row r="16" spans="1:18" x14ac:dyDescent="0.25">
      <c r="A16" s="42" t="s">
        <v>24</v>
      </c>
      <c r="B16" s="48"/>
      <c r="C16" s="48"/>
      <c r="D16" s="48"/>
      <c r="E16" s="48"/>
      <c r="F16" s="48"/>
    </row>
    <row r="17" spans="1:6" x14ac:dyDescent="0.25">
      <c r="A17" s="76" t="s">
        <v>25</v>
      </c>
      <c r="B17" s="75">
        <v>6.3399999999999998E-2</v>
      </c>
      <c r="C17" s="75">
        <v>6.3399999999999998E-2</v>
      </c>
      <c r="D17" s="75">
        <v>6.3399999999999998E-2</v>
      </c>
      <c r="E17" s="75">
        <v>6.3399999999999998E-2</v>
      </c>
      <c r="F17" s="75">
        <v>6.3399999999999998E-2</v>
      </c>
    </row>
    <row r="18" spans="1:6" x14ac:dyDescent="0.25">
      <c r="A18" s="48"/>
      <c r="B18" s="48"/>
      <c r="C18" s="72"/>
      <c r="D18" s="48"/>
      <c r="E18" s="72"/>
      <c r="F18" s="48"/>
    </row>
    <row r="19" spans="1:6" x14ac:dyDescent="0.25">
      <c r="A19" s="36" t="s">
        <v>12</v>
      </c>
      <c r="B19" s="48"/>
      <c r="C19" s="48"/>
      <c r="D19" s="48"/>
      <c r="E19" s="48"/>
      <c r="F19" s="48"/>
    </row>
    <row r="20" spans="1:6" x14ac:dyDescent="0.25">
      <c r="A20" s="42" t="s">
        <v>58</v>
      </c>
      <c r="B20" s="74">
        <v>17487.96</v>
      </c>
      <c r="C20" s="74">
        <v>18027.38</v>
      </c>
      <c r="D20" s="74">
        <v>21937.62</v>
      </c>
      <c r="E20" s="74">
        <v>24996.01</v>
      </c>
      <c r="F20" s="75">
        <v>27024.799999999999</v>
      </c>
    </row>
    <row r="21" spans="1:6" x14ac:dyDescent="0.25">
      <c r="A21" s="48"/>
      <c r="B21" s="48"/>
      <c r="C21" s="72"/>
      <c r="D21" s="48"/>
      <c r="E21" s="72"/>
      <c r="F21" s="48"/>
    </row>
    <row r="22" spans="1:6" x14ac:dyDescent="0.25">
      <c r="A22" s="42" t="s">
        <v>67</v>
      </c>
      <c r="B22" s="75">
        <v>1.5800000000000002E-2</v>
      </c>
      <c r="C22" s="75">
        <v>1.5800000000000002E-2</v>
      </c>
      <c r="D22" s="75">
        <v>1.5800000000000002E-2</v>
      </c>
      <c r="E22" s="75">
        <v>1.5800000000000002E-2</v>
      </c>
      <c r="F22" s="75">
        <v>1.5800000000000002E-2</v>
      </c>
    </row>
    <row r="23" spans="1:6" x14ac:dyDescent="0.25">
      <c r="A23" s="42" t="s">
        <v>68</v>
      </c>
      <c r="B23" s="76">
        <v>1.43</v>
      </c>
      <c r="C23" s="76">
        <v>1.43</v>
      </c>
      <c r="D23" s="76">
        <v>1.43</v>
      </c>
      <c r="E23" s="77">
        <v>1.43</v>
      </c>
      <c r="F23" s="76">
        <v>1.1599999999999999</v>
      </c>
    </row>
    <row r="24" spans="1:6" x14ac:dyDescent="0.25">
      <c r="A24" s="48"/>
      <c r="B24" s="72"/>
      <c r="C24" s="72"/>
      <c r="D24" s="48"/>
      <c r="E24" s="72"/>
      <c r="F24" s="48"/>
    </row>
    <row r="25" spans="1:6" x14ac:dyDescent="0.25">
      <c r="A25" s="27" t="s">
        <v>13</v>
      </c>
      <c r="B25" s="45">
        <v>0.33</v>
      </c>
      <c r="C25" s="45">
        <v>0.33</v>
      </c>
      <c r="D25" s="45">
        <v>0.33</v>
      </c>
      <c r="E25" s="45">
        <v>0.33</v>
      </c>
      <c r="F25" s="45">
        <v>0.33</v>
      </c>
    </row>
    <row r="26" spans="1:6" x14ac:dyDescent="0.25">
      <c r="A26" s="21"/>
      <c r="B26" s="63"/>
      <c r="C26" s="63"/>
      <c r="D26" s="63"/>
      <c r="E26" s="63"/>
      <c r="F26" s="63"/>
    </row>
    <row r="27" spans="1:6" x14ac:dyDescent="0.25">
      <c r="A27" s="115" t="s">
        <v>14</v>
      </c>
      <c r="B27" s="78">
        <f>+B17+((B20-B17)*B22*B23)</f>
        <v>395.18493578040005</v>
      </c>
      <c r="C27" s="78">
        <f>+C17+((C20-C17)*C22*C23)</f>
        <v>407.3725912604001</v>
      </c>
      <c r="D27" s="78">
        <f>+D17+((D20-D17)*D22*D23)</f>
        <v>495.72055382040003</v>
      </c>
      <c r="E27" s="78">
        <f>+E17+((E20-E17)*E22*E23)</f>
        <v>564.8218174804</v>
      </c>
      <c r="F27" s="78">
        <f>+F17+((F20-F17)*F22*F23)</f>
        <v>495.3727724048</v>
      </c>
    </row>
    <row r="28" spans="1:6" x14ac:dyDescent="0.25">
      <c r="A28" s="63"/>
      <c r="B28" s="63"/>
      <c r="C28" s="63"/>
      <c r="D28" s="63"/>
      <c r="E28" s="63"/>
      <c r="F28" s="63"/>
    </row>
    <row r="29" spans="1:6" hidden="1" x14ac:dyDescent="0.25">
      <c r="A29" s="115" t="s">
        <v>15</v>
      </c>
      <c r="B29" s="65"/>
      <c r="C29" s="73"/>
      <c r="D29" s="73"/>
      <c r="E29" s="73"/>
      <c r="F29" s="73"/>
    </row>
    <row r="30" spans="1:6" hidden="1" x14ac:dyDescent="0.25">
      <c r="A30" s="115" t="s">
        <v>16</v>
      </c>
      <c r="B30" s="65"/>
      <c r="C30" s="61"/>
      <c r="D30" s="64"/>
      <c r="E30" s="61"/>
      <c r="F30" s="64"/>
    </row>
    <row r="31" spans="1:6" x14ac:dyDescent="0.25">
      <c r="A31" s="115" t="s">
        <v>17</v>
      </c>
      <c r="B31" s="79">
        <f>+(('1.Balances Generales'!$B$51/'1.Balances Generales'!$B$26)*B29*(1-B25))+(('1.Balances Generales'!$B$63/'1.Balances Generales'!$B$26)*B27)</f>
        <v>352.72190897929715</v>
      </c>
      <c r="C31" s="79">
        <f>+(('1.Balances Generales'!$B$51/'1.Balances Generales'!$B$26)*C29*(1-C25))+(('1.Balances Generales'!$B$63/'1.Balances Generales'!$B$26)*C27)</f>
        <v>363.59998837369096</v>
      </c>
      <c r="D31" s="79">
        <f>+(('1.Balances Generales'!$B$51/'1.Balances Generales'!$B$26)*D29*(1-D25))+(('1.Balances Generales'!$B$63/'1.Balances Generales'!$B$26)*D27)</f>
        <v>442.45487171345263</v>
      </c>
      <c r="E31" s="79">
        <f>+(('1.Balances Generales'!$B$51/'1.Balances Generales'!$B$26)*E29*(1-E25))+(('1.Balances Generales'!$B$63/'1.Balances Generales'!$B$26)*E27)</f>
        <v>504.13113369673084</v>
      </c>
      <c r="F31" s="79">
        <f>+(('1.Balances Generales'!$B$51/'1.Balances Generales'!$B$26)*F29*(1-F25))+(('1.Balances Generales'!$B$63/'1.Balances Generales'!$B$26)*F27)</f>
        <v>442.14445976777529</v>
      </c>
    </row>
    <row r="32" spans="1:6" x14ac:dyDescent="0.25">
      <c r="A32" s="115" t="s">
        <v>18</v>
      </c>
      <c r="B32" s="62">
        <f>+'2.Estado de resultados'!B33/'1.Balances Generales'!B26</f>
        <v>4.2860182203428154E-4</v>
      </c>
      <c r="C32" s="62">
        <f>+'2.Estado de resultados'!C33/'1.Balances Generales'!C26</f>
        <v>9.8814545447213436E-4</v>
      </c>
      <c r="D32" s="62">
        <f>+'2.Estado de resultados'!D33/'1.Balances Generales'!D26</f>
        <v>1.5911151853029765E-3</v>
      </c>
      <c r="E32" s="62">
        <f>+'2.Estado de resultados'!E33/'1.Balances Generales'!E26</f>
        <v>1.2329032310353773E-3</v>
      </c>
      <c r="F32" s="62">
        <f>+'2.Estado de resultados'!F33/'1.Balances Generales'!F26</f>
        <v>-2.5839860150194214E-2</v>
      </c>
    </row>
    <row r="33" spans="1:7" x14ac:dyDescent="0.25">
      <c r="A33" s="115" t="s">
        <v>19</v>
      </c>
      <c r="B33" s="62">
        <f>+'2.Estado de resultados'!B45/'1.Balances Generales'!B63</f>
        <v>1.9201622852586277E-3</v>
      </c>
      <c r="C33" s="62">
        <f>+'2.Estado de resultados'!C45/'1.Balances Generales'!C63</f>
        <v>2.5809273051604054E-3</v>
      </c>
      <c r="D33" s="62">
        <f>+'2.Estado de resultados'!D45/'1.Balances Generales'!D63</f>
        <v>3.3051595629692101E-3</v>
      </c>
      <c r="E33" s="62">
        <f>+'2.Estado de resultados'!E45/'1.Balances Generales'!E63</f>
        <v>-7.0570942905829673E-2</v>
      </c>
      <c r="F33" s="62">
        <f>+'2.Estado de resultados'!F45/'1.Balances Generales'!F63</f>
        <v>-4.2600633963410246E-2</v>
      </c>
    </row>
    <row r="34" spans="1:7" x14ac:dyDescent="0.25">
      <c r="A34" s="115" t="s">
        <v>20</v>
      </c>
      <c r="B34" s="6">
        <f>+'2.Estado de resultados'!B33</f>
        <v>5377783</v>
      </c>
      <c r="C34" s="6">
        <f>+'2.Estado de resultados'!C33</f>
        <v>12659672</v>
      </c>
      <c r="D34" s="6">
        <f>+'2.Estado de resultados'!D33</f>
        <v>20371057</v>
      </c>
      <c r="E34" s="6">
        <f>+'2.Estado de resultados'!E33</f>
        <v>15771443</v>
      </c>
      <c r="F34" s="6">
        <f>+'2.Estado de resultados'!F33</f>
        <v>-344046518</v>
      </c>
    </row>
    <row r="35" spans="1:7" x14ac:dyDescent="0.25">
      <c r="A35" s="115" t="s">
        <v>21</v>
      </c>
      <c r="B35" s="80">
        <f>+'2.Estado de resultados'!B33/('2.Estado de resultados'!B6+'2.Estado de resultados'!B7)</f>
        <v>2.6477243638637231E-2</v>
      </c>
      <c r="C35" s="80">
        <f>+'2.Estado de resultados'!C33/('2.Estado de resultados'!C6+'2.Estado de resultados'!C7)</f>
        <v>0.68236381260877144</v>
      </c>
      <c r="D35" s="80">
        <f>+'2.Estado de resultados'!D33/('2.Estado de resultados'!D6+'2.Estado de resultados'!D7)</f>
        <v>6.419229359538757E-2</v>
      </c>
      <c r="E35" s="80">
        <f>+'2.Estado de resultados'!E33/('2.Estado de resultados'!E6+'2.Estado de resultados'!E7)</f>
        <v>6.8979801343052496E-2</v>
      </c>
      <c r="F35" s="80">
        <f>+'2.Estado de resultados'!F33/('2.Estado de resultados'!F6+'2.Estado de resultados'!F7)</f>
        <v>-3.631131233207761</v>
      </c>
    </row>
    <row r="36" spans="1:7" x14ac:dyDescent="0.25">
      <c r="A36" s="115" t="s">
        <v>22</v>
      </c>
      <c r="B36" s="62">
        <f>+'2.Estado de resultados'!B54/('2.Estado de resultados'!B6+'2.Estado de resultados'!B7)</f>
        <v>0.2839162165944436</v>
      </c>
      <c r="C36" s="62">
        <f>+'2.Estado de resultados'!C54/('2.Estado de resultados'!C6+'2.Estado de resultados'!C7)</f>
        <v>1.4800472406346643</v>
      </c>
      <c r="D36" s="62">
        <f>+'2.Estado de resultados'!D54/('2.Estado de resultados'!D6+'2.Estado de resultados'!D7)</f>
        <v>9.0178358565451616E-2</v>
      </c>
      <c r="E36" s="62">
        <f>+'2.Estado de resultados'!E54/('2.Estado de resultados'!E6+'2.Estado de resultados'!E7)</f>
        <v>-3.2668941838369108</v>
      </c>
      <c r="F36" s="62">
        <f>+'2.Estado de resultados'!F54/('2.Estado de resultados'!F6+'2.Estado de resultados'!F7)</f>
        <v>-4.482410423872186</v>
      </c>
    </row>
    <row r="37" spans="1:7" x14ac:dyDescent="0.25">
      <c r="A37" s="21"/>
      <c r="B37" s="21"/>
      <c r="C37" s="21"/>
      <c r="D37" s="21"/>
      <c r="E37" s="21"/>
      <c r="F37" s="21"/>
    </row>
    <row r="38" spans="1:7" x14ac:dyDescent="0.25">
      <c r="A38" s="21"/>
      <c r="B38" s="21"/>
      <c r="C38" s="21"/>
      <c r="D38" s="21"/>
      <c r="E38" s="21"/>
      <c r="F38" s="21"/>
    </row>
    <row r="39" spans="1:7" x14ac:dyDescent="0.25">
      <c r="A39" s="166" t="s">
        <v>118</v>
      </c>
      <c r="B39" s="166"/>
      <c r="C39" s="166"/>
      <c r="D39" s="166"/>
      <c r="E39" s="166"/>
      <c r="F39" s="166"/>
    </row>
    <row r="40" spans="1:7" x14ac:dyDescent="0.25">
      <c r="A40" s="115" t="s">
        <v>26</v>
      </c>
      <c r="B40" s="62">
        <f>+'1.Balances Generales'!B51/'1.Balances Generales'!B26</f>
        <v>0.10745102597913585</v>
      </c>
      <c r="C40" s="62">
        <f>+'1.Balances Generales'!C51/'1.Balances Generales'!C26</f>
        <v>0.12371923645029691</v>
      </c>
      <c r="D40" s="62">
        <f>+'1.Balances Generales'!D51/'1.Balances Generales'!D26</f>
        <v>0.12089942167248098</v>
      </c>
      <c r="E40" s="62">
        <f>+'1.Balances Generales'!E51/'1.Balances Generales'!E26</f>
        <v>0.18745705522366299</v>
      </c>
      <c r="F40" s="62">
        <f>+'1.Balances Generales'!F51/'1.Balances Generales'!F26</f>
        <v>0.25123804241976427</v>
      </c>
    </row>
    <row r="41" spans="1:7" x14ac:dyDescent="0.25">
      <c r="A41" s="115" t="s">
        <v>44</v>
      </c>
      <c r="B41" s="62">
        <f>+'1.Balances Generales'!B63/'1.Balances Generales'!B26</f>
        <v>0.89254897402086419</v>
      </c>
      <c r="C41" s="62">
        <f>+'1.Balances Generales'!C63/'1.Balances Generales'!C26</f>
        <v>0.87628076354970308</v>
      </c>
      <c r="D41" s="62">
        <f>+'1.Balances Generales'!D63/'1.Balances Generales'!D26</f>
        <v>0.87910057832751898</v>
      </c>
      <c r="E41" s="62">
        <f>+'1.Balances Generales'!E63/'1.Balances Generales'!E26</f>
        <v>0.81254294477633704</v>
      </c>
      <c r="F41" s="62">
        <f>+'1.Balances Generales'!F63/'1.Balances Generales'!F26</f>
        <v>0.74876195758023578</v>
      </c>
    </row>
    <row r="42" spans="1:7" x14ac:dyDescent="0.25">
      <c r="A42" s="21"/>
      <c r="B42" s="63"/>
      <c r="C42" s="21"/>
      <c r="D42" s="21"/>
      <c r="E42" s="21"/>
      <c r="F42" s="21"/>
    </row>
    <row r="43" spans="1:7" x14ac:dyDescent="0.25">
      <c r="A43" s="115" t="s">
        <v>27</v>
      </c>
      <c r="B43" s="6">
        <f>+'2.Estado de resultados'!B33+'2.Estado de resultados'!B24</f>
        <v>5377783</v>
      </c>
      <c r="C43" s="6">
        <f>+'2.Estado de resultados'!C33+'2.Estado de resultados'!C24</f>
        <v>12659672</v>
      </c>
      <c r="D43" s="6">
        <f>+'2.Estado de resultados'!D33+'2.Estado de resultados'!D24</f>
        <v>20371057</v>
      </c>
      <c r="E43" s="6">
        <f>+'2.Estado de resultados'!E33+'2.Estado de resultados'!E24</f>
        <v>15771443</v>
      </c>
      <c r="F43" s="6">
        <f>+'2.Estado de resultados'!F33+'2.Estado de resultados'!F24</f>
        <v>-344046518</v>
      </c>
    </row>
    <row r="44" spans="1:7" x14ac:dyDescent="0.25">
      <c r="A44" s="115" t="s">
        <v>29</v>
      </c>
      <c r="B44" s="62">
        <f>+'3.Indicadores Financieros'!B43/('2.Estado de resultados'!B6+'2.Estado de resultados'!B7)</f>
        <v>2.6477243638637231E-2</v>
      </c>
      <c r="C44" s="62">
        <f>+'3.Indicadores Financieros'!C43/('2.Estado de resultados'!C6+'2.Estado de resultados'!C7)</f>
        <v>0.68236381260877144</v>
      </c>
      <c r="D44" s="62">
        <f>+'3.Indicadores Financieros'!D43/('2.Estado de resultados'!D6+'2.Estado de resultados'!D7)</f>
        <v>6.419229359538757E-2</v>
      </c>
      <c r="E44" s="62">
        <f>+'3.Indicadores Financieros'!E43/('2.Estado de resultados'!E6+'2.Estado de resultados'!E7)</f>
        <v>6.8979801343052496E-2</v>
      </c>
      <c r="F44" s="62">
        <f>+'3.Indicadores Financieros'!F43/('2.Estado de resultados'!F6+'2.Estado de resultados'!F7)</f>
        <v>-3.631131233207761</v>
      </c>
      <c r="G44" s="123"/>
    </row>
    <row r="45" spans="1:7" x14ac:dyDescent="0.25">
      <c r="A45" s="115" t="s">
        <v>28</v>
      </c>
      <c r="B45" s="6">
        <f>+'2.Estado de resultados'!B54-C34</f>
        <v>45006444</v>
      </c>
      <c r="C45" s="6">
        <f>+'2.Estado de resultados'!C54-D34</f>
        <v>7087774</v>
      </c>
      <c r="D45" s="6">
        <f>+'2.Estado de resultados'!D54-E34</f>
        <v>12846143</v>
      </c>
      <c r="E45" s="6">
        <f>+'2.Estado de resultados'!E54-F34</f>
        <v>-402891490</v>
      </c>
      <c r="F45" s="6">
        <f>+E45-D45</f>
        <v>-415737633</v>
      </c>
    </row>
    <row r="46" spans="1:7" x14ac:dyDescent="0.25">
      <c r="A46" s="21"/>
      <c r="B46" s="63"/>
      <c r="C46" s="63"/>
      <c r="D46" s="63"/>
      <c r="E46" s="63"/>
      <c r="F46" s="63"/>
    </row>
    <row r="47" spans="1:7" x14ac:dyDescent="0.25">
      <c r="A47" s="21"/>
      <c r="B47" s="21"/>
      <c r="C47" s="21"/>
      <c r="D47" s="21"/>
      <c r="E47" s="21"/>
      <c r="F47" s="21"/>
    </row>
    <row r="48" spans="1:7" x14ac:dyDescent="0.25">
      <c r="A48" s="21"/>
      <c r="B48" s="21"/>
      <c r="C48" s="21"/>
      <c r="D48" s="21"/>
      <c r="E48" s="21"/>
      <c r="F48" s="21"/>
    </row>
    <row r="49" spans="1:6" x14ac:dyDescent="0.25">
      <c r="A49" s="21"/>
      <c r="B49" s="21"/>
      <c r="C49" s="21"/>
      <c r="D49" s="21"/>
      <c r="E49" s="21"/>
      <c r="F49" s="21"/>
    </row>
    <row r="50" spans="1:6" x14ac:dyDescent="0.25">
      <c r="A50" s="21"/>
      <c r="B50" s="21"/>
      <c r="C50" s="21"/>
      <c r="D50" s="21"/>
      <c r="E50" s="21"/>
      <c r="F50" s="21"/>
    </row>
    <row r="51" spans="1:6" x14ac:dyDescent="0.25">
      <c r="A51" s="21"/>
      <c r="B51" s="21"/>
      <c r="C51" s="21"/>
      <c r="D51" s="21"/>
      <c r="E51" s="21"/>
      <c r="F51" s="21"/>
    </row>
    <row r="52" spans="1:6" x14ac:dyDescent="0.25">
      <c r="A52" s="21"/>
      <c r="B52" s="21"/>
      <c r="C52" s="21"/>
      <c r="D52" s="21"/>
      <c r="E52" s="21"/>
      <c r="F52" s="21"/>
    </row>
    <row r="53" spans="1:6" x14ac:dyDescent="0.25">
      <c r="A53" s="21"/>
      <c r="B53" s="63"/>
      <c r="C53" s="63"/>
      <c r="D53" s="63"/>
      <c r="E53" s="63"/>
      <c r="F53" s="63"/>
    </row>
    <row r="54" spans="1:6" x14ac:dyDescent="0.25">
      <c r="A54" s="21"/>
      <c r="B54" s="63"/>
      <c r="C54" s="63"/>
      <c r="D54" s="63"/>
      <c r="E54" s="63"/>
      <c r="F54" s="63"/>
    </row>
    <row r="55" spans="1:6" x14ac:dyDescent="0.25">
      <c r="A55" s="21"/>
      <c r="B55" s="21"/>
      <c r="C55" s="21"/>
      <c r="D55" s="21"/>
      <c r="E55" s="21"/>
      <c r="F55" s="21"/>
    </row>
    <row r="56" spans="1:6" x14ac:dyDescent="0.25">
      <c r="A56" s="21"/>
      <c r="B56" s="63"/>
      <c r="C56" s="63"/>
      <c r="D56" s="63"/>
      <c r="E56" s="63"/>
      <c r="F56" s="63"/>
    </row>
    <row r="57" spans="1:6" x14ac:dyDescent="0.25">
      <c r="A57" s="21"/>
      <c r="B57" s="21"/>
      <c r="C57" s="21"/>
      <c r="D57" s="21"/>
      <c r="E57" s="21"/>
      <c r="F57" s="21"/>
    </row>
    <row r="58" spans="1:6" x14ac:dyDescent="0.25">
      <c r="A58" s="21"/>
      <c r="B58" s="63"/>
      <c r="C58" s="63"/>
      <c r="D58" s="21"/>
      <c r="E58" s="63"/>
      <c r="F58" s="21"/>
    </row>
    <row r="59" spans="1:6" x14ac:dyDescent="0.25">
      <c r="A59" s="21"/>
      <c r="B59" s="63"/>
      <c r="C59" s="63"/>
      <c r="D59" s="21"/>
      <c r="E59" s="63"/>
      <c r="F59" s="21"/>
    </row>
    <row r="60" spans="1:6" x14ac:dyDescent="0.25">
      <c r="A60" s="21"/>
      <c r="B60" s="63"/>
      <c r="C60" s="63"/>
      <c r="D60" s="63"/>
      <c r="E60" s="63"/>
      <c r="F60" s="63"/>
    </row>
    <row r="61" spans="1:6" x14ac:dyDescent="0.25">
      <c r="A61" s="21"/>
      <c r="B61" s="21"/>
      <c r="C61" s="21"/>
      <c r="D61" s="21"/>
      <c r="E61" s="21"/>
      <c r="F61" s="21"/>
    </row>
    <row r="62" spans="1:6" x14ac:dyDescent="0.25">
      <c r="A62" s="21"/>
      <c r="B62" s="63"/>
      <c r="C62" s="63"/>
      <c r="D62" s="63"/>
      <c r="E62" s="63"/>
      <c r="F62" s="63"/>
    </row>
    <row r="63" spans="1:6" x14ac:dyDescent="0.25">
      <c r="A63" s="21"/>
      <c r="B63" s="63"/>
      <c r="C63" s="63"/>
      <c r="D63" s="63"/>
      <c r="E63" s="63"/>
      <c r="F63" s="63"/>
    </row>
    <row r="64" spans="1:6" x14ac:dyDescent="0.25">
      <c r="A64" s="21"/>
      <c r="B64" s="63"/>
      <c r="C64" s="63"/>
      <c r="D64" s="63"/>
      <c r="E64" s="63"/>
      <c r="F64" s="63"/>
    </row>
    <row r="65" spans="1:6" x14ac:dyDescent="0.25">
      <c r="A65" s="21"/>
      <c r="B65" s="63"/>
      <c r="C65" s="63"/>
      <c r="D65" s="63"/>
      <c r="E65" s="63"/>
      <c r="F65" s="63"/>
    </row>
    <row r="66" spans="1:6" x14ac:dyDescent="0.25">
      <c r="A66" s="21"/>
      <c r="B66" s="63"/>
      <c r="C66" s="63"/>
      <c r="D66" s="63"/>
      <c r="E66" s="63"/>
      <c r="F66" s="63"/>
    </row>
    <row r="67" spans="1:6" x14ac:dyDescent="0.25">
      <c r="A67" s="21"/>
      <c r="B67" s="63"/>
      <c r="C67" s="63"/>
      <c r="D67" s="63"/>
      <c r="E67" s="63"/>
      <c r="F67" s="63"/>
    </row>
    <row r="68" spans="1:6" x14ac:dyDescent="0.25">
      <c r="A68" s="21"/>
      <c r="B68" s="63"/>
      <c r="C68" s="63"/>
      <c r="D68" s="63"/>
      <c r="E68" s="63"/>
      <c r="F68" s="63"/>
    </row>
  </sheetData>
  <mergeCells count="5">
    <mergeCell ref="A3:F3"/>
    <mergeCell ref="A1:F1"/>
    <mergeCell ref="A14:F14"/>
    <mergeCell ref="A39:F39"/>
    <mergeCell ref="H1:R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4"/>
  <sheetViews>
    <sheetView showGridLines="0" topLeftCell="B1" workbookViewId="0">
      <pane ySplit="3" topLeftCell="A9" activePane="bottomLeft" state="frozen"/>
      <selection activeCell="B21" sqref="B21"/>
      <selection pane="bottomLeft" activeCell="L23" sqref="L23"/>
    </sheetView>
  </sheetViews>
  <sheetFormatPr baseColWidth="10" defaultRowHeight="15" x14ac:dyDescent="0.25"/>
  <cols>
    <col min="1" max="1" width="35.5703125" style="3" customWidth="1"/>
    <col min="2" max="2" width="15.5703125" style="82" bestFit="1" customWidth="1"/>
    <col min="3" max="3" width="17.85546875" style="82" customWidth="1"/>
    <col min="4" max="4" width="17.5703125" style="85" customWidth="1"/>
    <col min="5" max="5" width="22.140625" style="3" customWidth="1"/>
    <col min="6" max="6" width="15.42578125" style="82" bestFit="1" customWidth="1"/>
    <col min="7" max="7" width="14.5703125" style="88" customWidth="1"/>
    <col min="8" max="9" width="15.5703125" style="88" bestFit="1" customWidth="1"/>
    <col min="10" max="10" width="14.5703125" style="88" customWidth="1"/>
    <col min="11" max="11" width="19.5703125" style="3" customWidth="1"/>
    <col min="12" max="12" width="25.85546875" style="3" customWidth="1"/>
    <col min="13" max="13" width="21" style="3" customWidth="1"/>
    <col min="14" max="14" width="21.5703125" style="3" customWidth="1"/>
    <col min="15" max="15" width="18" style="3" customWidth="1"/>
    <col min="16" max="16384" width="11.42578125" style="3"/>
  </cols>
  <sheetData>
    <row r="1" spans="1:16" ht="51" customHeight="1" x14ac:dyDescent="0.25">
      <c r="A1" s="164" t="s">
        <v>122</v>
      </c>
      <c r="B1" s="165"/>
      <c r="C1" s="165"/>
      <c r="D1" s="165"/>
      <c r="E1" s="165"/>
      <c r="F1" s="165"/>
      <c r="G1" s="165"/>
      <c r="H1" s="116"/>
      <c r="I1" s="116"/>
      <c r="J1" s="116"/>
    </row>
    <row r="3" spans="1:16" ht="30" customHeight="1" x14ac:dyDescent="0.25">
      <c r="A3" s="100" t="s">
        <v>0</v>
      </c>
      <c r="B3" s="101" t="s">
        <v>59</v>
      </c>
      <c r="C3" s="102" t="s">
        <v>43</v>
      </c>
      <c r="D3" s="103" t="s">
        <v>42</v>
      </c>
      <c r="E3" s="104" t="s">
        <v>60</v>
      </c>
      <c r="F3" s="102" t="s">
        <v>43</v>
      </c>
      <c r="G3" s="103" t="s">
        <v>42</v>
      </c>
      <c r="H3" s="104" t="s">
        <v>126</v>
      </c>
      <c r="I3" s="102" t="s">
        <v>43</v>
      </c>
      <c r="J3" s="103" t="s">
        <v>42</v>
      </c>
      <c r="L3" s="114" t="s">
        <v>61</v>
      </c>
    </row>
    <row r="4" spans="1:16" x14ac:dyDescent="0.25">
      <c r="A4" s="1"/>
      <c r="B4" s="81"/>
      <c r="C4" s="81"/>
      <c r="D4" s="20"/>
      <c r="E4" s="57"/>
      <c r="F4" s="81"/>
      <c r="G4" s="86"/>
      <c r="H4" s="57"/>
      <c r="I4" s="81"/>
      <c r="J4" s="86"/>
      <c r="L4" s="2" t="s">
        <v>41</v>
      </c>
      <c r="M4" s="38">
        <f>+C6+C7+C31+C33+C38+C39+C40+C44+C48+C49+C50+C55+C56+C62</f>
        <v>483800731</v>
      </c>
      <c r="N4" s="2" t="s">
        <v>40</v>
      </c>
      <c r="O4" s="4">
        <f>+C8+C9+C11+C12+C13+C14+C15+C17+C26+C32+C46+C47+C57</f>
        <v>590434927</v>
      </c>
      <c r="P4" s="38"/>
    </row>
    <row r="5" spans="1:16" x14ac:dyDescent="0.25">
      <c r="A5" s="11" t="s">
        <v>1</v>
      </c>
      <c r="B5" s="81"/>
      <c r="C5" s="81"/>
      <c r="D5" s="20"/>
      <c r="E5" s="57"/>
      <c r="F5" s="81"/>
      <c r="G5" s="86"/>
      <c r="H5" s="57"/>
      <c r="I5" s="81"/>
      <c r="J5" s="86"/>
      <c r="L5" s="2" t="s">
        <v>39</v>
      </c>
      <c r="M5" s="113">
        <f>+C6+C7+C31+C38+C39+C40+C44</f>
        <v>162041588</v>
      </c>
      <c r="N5" s="58" t="s">
        <v>38</v>
      </c>
      <c r="O5" s="113">
        <f>+C8+C9+C11+C12+C13+C14+C15+C32</f>
        <v>543555604</v>
      </c>
    </row>
    <row r="6" spans="1:16" x14ac:dyDescent="0.25">
      <c r="A6" s="12" t="str">
        <f>+[1]ESF2015!$A$9</f>
        <v>Efectivo y equivalente a efectivo</v>
      </c>
      <c r="B6" s="81">
        <f>+'1.Balances Generales'!C6-'1.Balances Generales'!B6</f>
        <v>-4740771</v>
      </c>
      <c r="C6" s="81">
        <f>+ABS(B6)</f>
        <v>4740771</v>
      </c>
      <c r="D6" s="20" t="s">
        <v>32</v>
      </c>
      <c r="E6" s="81">
        <f>+'1.Balances Generales'!E6-'1.Balances Generales'!D6</f>
        <v>265836830</v>
      </c>
      <c r="F6" s="81">
        <f>+ABS(E6)</f>
        <v>265836830</v>
      </c>
      <c r="G6" s="20" t="s">
        <v>33</v>
      </c>
      <c r="H6" s="81">
        <f>+'1.Balances Generales'!F6-'1.Balances Generales'!E6</f>
        <v>-54624788</v>
      </c>
      <c r="I6" s="81">
        <f>+ABS(H6)</f>
        <v>54624788</v>
      </c>
      <c r="J6" s="20" t="s">
        <v>32</v>
      </c>
      <c r="L6" s="2" t="s">
        <v>37</v>
      </c>
      <c r="M6" s="113">
        <f>+C48+C55+C56</f>
        <v>191759143</v>
      </c>
      <c r="N6" s="58" t="s">
        <v>36</v>
      </c>
      <c r="O6" s="113">
        <f>+C46+C47+C57</f>
        <v>46879323</v>
      </c>
    </row>
    <row r="7" spans="1:16" x14ac:dyDescent="0.25">
      <c r="A7" s="5" t="str">
        <f>+[1]ESF2015!$A$10</f>
        <v>Caja General</v>
      </c>
      <c r="B7" s="81">
        <f>+'1.Balances Generales'!C7-'1.Balances Generales'!B7</f>
        <v>-8929262</v>
      </c>
      <c r="C7" s="81">
        <f>+ABS(B7)</f>
        <v>8929262</v>
      </c>
      <c r="D7" s="20" t="s">
        <v>32</v>
      </c>
      <c r="E7" s="81">
        <f>+'1.Balances Generales'!E7-'1.Balances Generales'!D7</f>
        <v>268815897</v>
      </c>
      <c r="F7" s="81">
        <f t="shared" ref="F7:F63" si="0">+ABS(E7)</f>
        <v>268815897</v>
      </c>
      <c r="G7" s="20" t="s">
        <v>33</v>
      </c>
      <c r="H7" s="81">
        <f>+'1.Balances Generales'!F7-'1.Balances Generales'!E7</f>
        <v>-150664775</v>
      </c>
      <c r="I7" s="81">
        <f t="shared" ref="I7:I64" si="1">+ABS(H7)</f>
        <v>150664775</v>
      </c>
      <c r="J7" s="20" t="s">
        <v>32</v>
      </c>
      <c r="L7" s="2" t="s">
        <v>35</v>
      </c>
      <c r="M7" s="113"/>
      <c r="N7" s="58" t="s">
        <v>34</v>
      </c>
      <c r="O7" s="113"/>
    </row>
    <row r="8" spans="1:16" x14ac:dyDescent="0.2">
      <c r="A8" s="5" t="str">
        <f>+[1]ESF2015!$A$11</f>
        <v>Bancos</v>
      </c>
      <c r="B8" s="81">
        <f>+'1.Balances Generales'!C8-'1.Balances Generales'!B8</f>
        <v>4188491</v>
      </c>
      <c r="C8" s="81">
        <f t="shared" ref="C8:C63" si="2">+ABS(B8)</f>
        <v>4188491</v>
      </c>
      <c r="D8" s="20" t="s">
        <v>33</v>
      </c>
      <c r="E8" s="81">
        <f>+'1.Balances Generales'!E8-'1.Balances Generales'!D8</f>
        <v>-2979067</v>
      </c>
      <c r="F8" s="81">
        <f t="shared" si="0"/>
        <v>2979067</v>
      </c>
      <c r="G8" s="20" t="s">
        <v>32</v>
      </c>
      <c r="H8" s="81">
        <f>+'1.Balances Generales'!F8-'1.Balances Generales'!E8</f>
        <v>96039987</v>
      </c>
      <c r="I8" s="81">
        <f t="shared" si="1"/>
        <v>96039987</v>
      </c>
      <c r="J8" s="20" t="s">
        <v>33</v>
      </c>
    </row>
    <row r="9" spans="1:16" x14ac:dyDescent="0.25">
      <c r="A9" s="12" t="str">
        <f>+[1]ESF2015!$A$12</f>
        <v>Cuentas Comerciales por Cobrar</v>
      </c>
      <c r="B9" s="81">
        <f>+'1.Balances Generales'!C9-'1.Balances Generales'!B9</f>
        <v>8753</v>
      </c>
      <c r="C9" s="81">
        <f t="shared" si="2"/>
        <v>8753</v>
      </c>
      <c r="D9" s="20" t="s">
        <v>33</v>
      </c>
      <c r="E9" s="81">
        <f>+'1.Balances Generales'!E9-'1.Balances Generales'!D9</f>
        <v>31320800</v>
      </c>
      <c r="F9" s="81">
        <f t="shared" si="0"/>
        <v>31320800</v>
      </c>
      <c r="G9" s="20" t="s">
        <v>33</v>
      </c>
      <c r="H9" s="81">
        <f>+'1.Balances Generales'!F9-'1.Balances Generales'!E9</f>
        <v>-29415400</v>
      </c>
      <c r="I9" s="81">
        <f t="shared" si="1"/>
        <v>29415400</v>
      </c>
      <c r="J9" s="20" t="s">
        <v>32</v>
      </c>
      <c r="L9" s="114" t="s">
        <v>62</v>
      </c>
    </row>
    <row r="10" spans="1:16" x14ac:dyDescent="0.2">
      <c r="A10" s="5" t="str">
        <f>+'[1]ESF2018-2017 (3)'!$A$14</f>
        <v>Clientes</v>
      </c>
      <c r="B10" s="81">
        <f>+'1.Balances Generales'!C10-'1.Balances Generales'!B10</f>
        <v>0</v>
      </c>
      <c r="C10" s="81">
        <f t="shared" si="2"/>
        <v>0</v>
      </c>
      <c r="D10" s="20"/>
      <c r="E10" s="81">
        <f>+'1.Balances Generales'!E10-'1.Balances Generales'!D10</f>
        <v>31320800</v>
      </c>
      <c r="F10" s="81">
        <f t="shared" si="0"/>
        <v>31320800</v>
      </c>
      <c r="G10" s="20" t="s">
        <v>33</v>
      </c>
      <c r="H10" s="81">
        <f>+'1.Balances Generales'!F10-'1.Balances Generales'!E10</f>
        <v>-31320800</v>
      </c>
      <c r="I10" s="81">
        <f t="shared" si="1"/>
        <v>31320800</v>
      </c>
      <c r="J10" s="20" t="s">
        <v>32</v>
      </c>
      <c r="L10" s="2" t="s">
        <v>41</v>
      </c>
      <c r="M10" s="4">
        <f>+F8+F20+F21+F24+F26+F31+F32+F37+F38+F39+F41+F44+F50+F56</f>
        <v>2770128191</v>
      </c>
      <c r="N10" s="2" t="s">
        <v>40</v>
      </c>
      <c r="O10" s="4">
        <f>+F6+F7+F9+F10+F12+F13+F14+F15+F17+F46+F47+F48+F49+F55+F57+F59+F60+F62+F64</f>
        <v>2430151191</v>
      </c>
      <c r="P10" s="38"/>
    </row>
    <row r="11" spans="1:16" x14ac:dyDescent="0.25">
      <c r="A11" s="5" t="str">
        <f>+[1]ESF2015!$A$13</f>
        <v>Otros Activos</v>
      </c>
      <c r="B11" s="81">
        <f>+'1.Balances Generales'!C11-'1.Balances Generales'!B11</f>
        <v>8753</v>
      </c>
      <c r="C11" s="81">
        <f t="shared" si="2"/>
        <v>8753</v>
      </c>
      <c r="D11" s="20" t="s">
        <v>33</v>
      </c>
      <c r="E11" s="81">
        <f>+'1.Balances Generales'!E11-'1.Balances Generales'!D11</f>
        <v>0</v>
      </c>
      <c r="F11" s="81">
        <f t="shared" si="0"/>
        <v>0</v>
      </c>
      <c r="G11" s="87"/>
      <c r="H11" s="81">
        <f>+'1.Balances Generales'!F11-'1.Balances Generales'!E11</f>
        <v>1905400</v>
      </c>
      <c r="I11" s="81">
        <f t="shared" si="1"/>
        <v>1905400</v>
      </c>
      <c r="J11" s="20" t="s">
        <v>33</v>
      </c>
      <c r="L11" s="2" t="s">
        <v>39</v>
      </c>
      <c r="M11" s="113">
        <f>+F8+F31+F32+F37+F38+F39+F41</f>
        <v>1736579605</v>
      </c>
      <c r="N11" s="58" t="s">
        <v>38</v>
      </c>
      <c r="O11" s="113">
        <f>+F6+F7+F9+F10+F12+F13+F14+F15</f>
        <v>651156403</v>
      </c>
    </row>
    <row r="12" spans="1:16" x14ac:dyDescent="0.25">
      <c r="A12" s="12" t="str">
        <f>+'[1]ESF2016-2015'!$A$15</f>
        <v>Activo por Impuestos Corrientes</v>
      </c>
      <c r="B12" s="81">
        <f>+'1.Balances Generales'!C12-'1.Balances Generales'!B12</f>
        <v>564197</v>
      </c>
      <c r="C12" s="81">
        <f t="shared" si="2"/>
        <v>564197</v>
      </c>
      <c r="D12" s="20" t="s">
        <v>33</v>
      </c>
      <c r="E12" s="81">
        <f>+'1.Balances Generales'!E12-'1.Balances Generales'!D12</f>
        <v>3916454</v>
      </c>
      <c r="F12" s="81">
        <f t="shared" si="0"/>
        <v>3916454</v>
      </c>
      <c r="G12" s="20" t="s">
        <v>33</v>
      </c>
      <c r="H12" s="81">
        <f>+'1.Balances Generales'!F12-'1.Balances Generales'!E12</f>
        <v>719494</v>
      </c>
      <c r="I12" s="81">
        <f t="shared" si="1"/>
        <v>719494</v>
      </c>
      <c r="J12" s="20" t="s">
        <v>33</v>
      </c>
      <c r="L12" s="2" t="s">
        <v>37</v>
      </c>
      <c r="M12" s="113">
        <f>+F20+F21+F24+F56</f>
        <v>1033548586</v>
      </c>
      <c r="N12" s="58" t="s">
        <v>36</v>
      </c>
      <c r="O12" s="113">
        <f>+F46+F47+F48+F55+F57+F59+F60</f>
        <v>1778994788</v>
      </c>
    </row>
    <row r="13" spans="1:16" x14ac:dyDescent="0.25">
      <c r="A13" s="5" t="str">
        <f>+'[1]ESF2016-2015'!$A$16</f>
        <v>Anticipos de Impuestos y contribuciones</v>
      </c>
      <c r="B13" s="81">
        <f>+'1.Balances Generales'!C13-'1.Balances Generales'!B13</f>
        <v>564197</v>
      </c>
      <c r="C13" s="81">
        <f t="shared" si="2"/>
        <v>564197</v>
      </c>
      <c r="D13" s="20" t="s">
        <v>33</v>
      </c>
      <c r="E13" s="81">
        <f>+'1.Balances Generales'!E13-'1.Balances Generales'!D13</f>
        <v>3916454</v>
      </c>
      <c r="F13" s="81">
        <f t="shared" si="0"/>
        <v>3916454</v>
      </c>
      <c r="G13" s="20" t="s">
        <v>33</v>
      </c>
      <c r="H13" s="81">
        <f>+'1.Balances Generales'!F13-'1.Balances Generales'!E13</f>
        <v>719494</v>
      </c>
      <c r="I13" s="81">
        <f t="shared" si="1"/>
        <v>719494</v>
      </c>
      <c r="J13" s="20" t="s">
        <v>33</v>
      </c>
      <c r="L13" s="2" t="s">
        <v>35</v>
      </c>
      <c r="M13" s="113"/>
      <c r="N13" s="58" t="s">
        <v>34</v>
      </c>
      <c r="O13" s="113"/>
    </row>
    <row r="14" spans="1:16" x14ac:dyDescent="0.2">
      <c r="A14" s="12" t="str">
        <f>+'[1]ESF2016-2015'!$A$17</f>
        <v xml:space="preserve">Activo Biológicos </v>
      </c>
      <c r="B14" s="81">
        <f>+'1.Balances Generales'!C14-'1.Balances Generales'!B14</f>
        <v>268444384</v>
      </c>
      <c r="C14" s="81">
        <f t="shared" si="2"/>
        <v>268444384</v>
      </c>
      <c r="D14" s="20" t="s">
        <v>33</v>
      </c>
      <c r="E14" s="81">
        <f>+'1.Balances Generales'!E14-'1.Balances Generales'!D14</f>
        <v>23014584</v>
      </c>
      <c r="F14" s="81">
        <f t="shared" si="0"/>
        <v>23014584</v>
      </c>
      <c r="G14" s="20" t="s">
        <v>33</v>
      </c>
      <c r="H14" s="81">
        <f>+'1.Balances Generales'!F14-'1.Balances Generales'!E14</f>
        <v>519594142</v>
      </c>
      <c r="I14" s="81">
        <f t="shared" si="1"/>
        <v>519594142</v>
      </c>
      <c r="J14" s="20" t="s">
        <v>33</v>
      </c>
    </row>
    <row r="15" spans="1:16" x14ac:dyDescent="0.25">
      <c r="A15" s="5" t="str">
        <f>+'[1]ESF2016-2015'!$A$18</f>
        <v>Cultivos en Desarrollo</v>
      </c>
      <c r="B15" s="81">
        <f>+'1.Balances Generales'!C15-'1.Balances Generales'!B15</f>
        <v>268444384</v>
      </c>
      <c r="C15" s="81">
        <f t="shared" si="2"/>
        <v>268444384</v>
      </c>
      <c r="D15" s="20" t="s">
        <v>33</v>
      </c>
      <c r="E15" s="81">
        <f>+'1.Balances Generales'!E15-'1.Balances Generales'!D15</f>
        <v>23014584</v>
      </c>
      <c r="F15" s="81">
        <f t="shared" si="0"/>
        <v>23014584</v>
      </c>
      <c r="G15" s="20" t="s">
        <v>33</v>
      </c>
      <c r="H15" s="81">
        <f>+'1.Balances Generales'!F15-'1.Balances Generales'!E15</f>
        <v>-30692358</v>
      </c>
      <c r="I15" s="81">
        <f t="shared" si="1"/>
        <v>30692358</v>
      </c>
      <c r="J15" s="20" t="s">
        <v>32</v>
      </c>
      <c r="L15" s="114" t="s">
        <v>127</v>
      </c>
    </row>
    <row r="16" spans="1:16" x14ac:dyDescent="0.25">
      <c r="A16" s="5" t="str">
        <f>+'[2]ESF2019-2018 (4)'!$A$20</f>
        <v>Semovientes</v>
      </c>
      <c r="B16" s="81">
        <f>+'1.Balances Generales'!C16-'1.Balances Generales'!B16</f>
        <v>0</v>
      </c>
      <c r="C16" s="81">
        <f t="shared" si="2"/>
        <v>0</v>
      </c>
      <c r="D16" s="20"/>
      <c r="E16" s="81">
        <f>+'1.Balances Generales'!E16-'1.Balances Generales'!D16</f>
        <v>0</v>
      </c>
      <c r="F16" s="81">
        <f t="shared" si="0"/>
        <v>0</v>
      </c>
      <c r="G16" s="86"/>
      <c r="H16" s="81">
        <f>+'1.Balances Generales'!F16-'1.Balances Generales'!E16</f>
        <v>550286500</v>
      </c>
      <c r="I16" s="81">
        <f t="shared" si="1"/>
        <v>550286500</v>
      </c>
      <c r="J16" s="20" t="s">
        <v>33</v>
      </c>
      <c r="L16" s="2" t="s">
        <v>41</v>
      </c>
      <c r="M16" s="4">
        <f>+I6+I7+I9+I10+I15+I31+I32+I33+I35+I36+I37+I38+I42+I43+I44+I51+I58</f>
        <v>4513601219</v>
      </c>
      <c r="N16" s="2" t="s">
        <v>40</v>
      </c>
      <c r="O16" s="4">
        <f>+I8+I11+I12+I13+I14+I16+I17+I20+I21+I24+I26+I48+I49+I56+I57+I63</f>
        <v>4055572989</v>
      </c>
    </row>
    <row r="17" spans="1:15" x14ac:dyDescent="0.25">
      <c r="A17" s="12"/>
      <c r="B17" s="81"/>
      <c r="C17" s="81"/>
      <c r="D17" s="20"/>
      <c r="E17" s="81"/>
      <c r="F17" s="81"/>
      <c r="G17" s="20"/>
      <c r="H17" s="81">
        <f>+'1.Balances Generales'!F17-'1.Balances Generales'!E17</f>
        <v>436273448</v>
      </c>
      <c r="I17" s="81">
        <f t="shared" si="1"/>
        <v>436273448</v>
      </c>
      <c r="J17" s="20" t="s">
        <v>33</v>
      </c>
      <c r="L17" s="2" t="s">
        <v>39</v>
      </c>
      <c r="M17" s="113">
        <f>+I6+I7+I9+I10+I15+I31+I32+I33+I35+I36+I37+I38+I42+I43+I44</f>
        <v>3244214922</v>
      </c>
      <c r="N17" s="58" t="s">
        <v>38</v>
      </c>
      <c r="O17" s="113">
        <f>+I8+I11+I12+I13+I14+I16+I17</f>
        <v>1605538465</v>
      </c>
    </row>
    <row r="18" spans="1:15" s="35" customFormat="1" ht="15.75" customHeight="1" x14ac:dyDescent="0.25">
      <c r="A18" s="5"/>
      <c r="B18" s="81">
        <f>+'1.Balances Generales'!C18-'1.Balances Generales'!B18</f>
        <v>0</v>
      </c>
      <c r="C18" s="81">
        <f t="shared" si="2"/>
        <v>0</v>
      </c>
      <c r="D18" s="84"/>
      <c r="E18" s="81">
        <f>+'1.Balances Generales'!E18-'1.Balances Generales'!D18</f>
        <v>0</v>
      </c>
      <c r="F18" s="81">
        <f t="shared" si="0"/>
        <v>0</v>
      </c>
      <c r="G18" s="86"/>
      <c r="H18" s="81">
        <f>+'1.Balances Generales'!F18-'1.Balances Generales'!E18</f>
        <v>0</v>
      </c>
      <c r="I18" s="81">
        <f t="shared" si="1"/>
        <v>0</v>
      </c>
      <c r="J18" s="86"/>
      <c r="L18" s="2" t="s">
        <v>37</v>
      </c>
      <c r="M18" s="113">
        <f>+I51+I58</f>
        <v>1269386297</v>
      </c>
      <c r="N18" s="58" t="s">
        <v>36</v>
      </c>
      <c r="O18" s="113">
        <f>+I20+I21+I24+I26+I48+I49+I56+I58+I57+I63</f>
        <v>2772268053</v>
      </c>
    </row>
    <row r="19" spans="1:15" x14ac:dyDescent="0.25">
      <c r="A19" s="11" t="s">
        <v>2</v>
      </c>
      <c r="B19" s="81">
        <f>+'1.Balances Generales'!C19-'1.Balances Generales'!B19</f>
        <v>0</v>
      </c>
      <c r="C19" s="81">
        <f t="shared" si="2"/>
        <v>0</v>
      </c>
      <c r="D19" s="20"/>
      <c r="E19" s="81">
        <f>+'1.Balances Generales'!E19-'1.Balances Generales'!D19</f>
        <v>0</v>
      </c>
      <c r="F19" s="81">
        <f t="shared" si="0"/>
        <v>0</v>
      </c>
      <c r="G19" s="86"/>
      <c r="H19" s="81">
        <f>+'1.Balances Generales'!F19-'1.Balances Generales'!E19</f>
        <v>0</v>
      </c>
      <c r="I19" s="81">
        <f t="shared" si="1"/>
        <v>0</v>
      </c>
      <c r="J19" s="86"/>
      <c r="L19" s="2" t="s">
        <v>35</v>
      </c>
      <c r="M19" s="113"/>
      <c r="N19" s="58" t="s">
        <v>34</v>
      </c>
      <c r="O19" s="113"/>
    </row>
    <row r="20" spans="1:15" x14ac:dyDescent="0.25">
      <c r="A20" s="12" t="str">
        <f>+[1]ESF2015!$A$23</f>
        <v>Propiedades,planta y equipos</v>
      </c>
      <c r="B20" s="81">
        <f>+'1.Balances Generales'!C20-'1.Balances Generales'!B20</f>
        <v>0</v>
      </c>
      <c r="C20" s="81">
        <f t="shared" si="2"/>
        <v>0</v>
      </c>
      <c r="D20" s="20"/>
      <c r="E20" s="81">
        <f>+'1.Balances Generales'!E20-'1.Balances Generales'!D20</f>
        <v>-334977000</v>
      </c>
      <c r="F20" s="81">
        <f t="shared" si="0"/>
        <v>334977000</v>
      </c>
      <c r="G20" s="86" t="s">
        <v>31</v>
      </c>
      <c r="H20" s="81">
        <f>+'1.Balances Generales'!F20-'1.Balances Generales'!E20</f>
        <v>86174841</v>
      </c>
      <c r="I20" s="81">
        <f t="shared" si="1"/>
        <v>86174841</v>
      </c>
      <c r="J20" s="20" t="s">
        <v>30</v>
      </c>
      <c r="L20" s="59"/>
      <c r="M20" s="59"/>
      <c r="N20" s="59"/>
    </row>
    <row r="21" spans="1:15" x14ac:dyDescent="0.25">
      <c r="A21" s="5" t="str">
        <f>+[1]ESF2015!$A$24</f>
        <v>Terrenos</v>
      </c>
      <c r="B21" s="81">
        <f>+'1.Balances Generales'!C21-'1.Balances Generales'!B21</f>
        <v>0</v>
      </c>
      <c r="C21" s="81">
        <f t="shared" si="2"/>
        <v>0</v>
      </c>
      <c r="D21" s="20"/>
      <c r="E21" s="81">
        <f>+'1.Balances Generales'!E21-'1.Balances Generales'!D21</f>
        <v>-334977000</v>
      </c>
      <c r="F21" s="81">
        <f t="shared" si="0"/>
        <v>334977000</v>
      </c>
      <c r="G21" s="86" t="s">
        <v>31</v>
      </c>
      <c r="H21" s="81">
        <f>+'1.Balances Generales'!F21-'1.Balances Generales'!E21</f>
        <v>86174841</v>
      </c>
      <c r="I21" s="81">
        <f t="shared" si="1"/>
        <v>86174841</v>
      </c>
      <c r="J21" s="20" t="s">
        <v>30</v>
      </c>
      <c r="L21" s="59"/>
      <c r="M21" s="59"/>
      <c r="N21" s="59"/>
    </row>
    <row r="22" spans="1:15" x14ac:dyDescent="0.25">
      <c r="A22" s="5" t="str">
        <f>+[1]ESF2015!$A$25</f>
        <v>Flota y Equipo de Transporte</v>
      </c>
      <c r="B22" s="81">
        <f>+'1.Balances Generales'!C22-'1.Balances Generales'!B22</f>
        <v>0</v>
      </c>
      <c r="C22" s="81">
        <f t="shared" si="2"/>
        <v>0</v>
      </c>
      <c r="D22" s="83"/>
      <c r="E22" s="81">
        <f>+'1.Balances Generales'!E22-'1.Balances Generales'!D22</f>
        <v>0</v>
      </c>
      <c r="F22" s="81">
        <f t="shared" si="0"/>
        <v>0</v>
      </c>
      <c r="G22" s="87"/>
      <c r="H22" s="81">
        <f>+'1.Balances Generales'!F22-'1.Balances Generales'!E22</f>
        <v>0</v>
      </c>
      <c r="I22" s="81">
        <f t="shared" si="1"/>
        <v>0</v>
      </c>
      <c r="J22" s="87"/>
      <c r="L22" s="59"/>
      <c r="M22" s="59"/>
      <c r="N22" s="59"/>
    </row>
    <row r="23" spans="1:15" x14ac:dyDescent="0.25">
      <c r="A23" s="5" t="str">
        <f>+'[1]ESF2018-2017 (3)'!$A$28</f>
        <v>Equipo de Computacion y Comunicación</v>
      </c>
      <c r="B23" s="81">
        <f>+'1.Balances Generales'!C23-'1.Balances Generales'!B23</f>
        <v>0</v>
      </c>
      <c r="C23" s="81">
        <f t="shared" si="2"/>
        <v>0</v>
      </c>
      <c r="D23" s="20"/>
      <c r="E23" s="81">
        <f>+'1.Balances Generales'!E23-'1.Balances Generales'!D23</f>
        <v>0</v>
      </c>
      <c r="F23" s="81">
        <f t="shared" si="0"/>
        <v>0</v>
      </c>
      <c r="G23" s="86"/>
      <c r="H23" s="81">
        <f>+'1.Balances Generales'!F23-'1.Balances Generales'!E23</f>
        <v>0</v>
      </c>
      <c r="I23" s="81">
        <f t="shared" si="1"/>
        <v>0</v>
      </c>
      <c r="J23" s="86"/>
      <c r="L23" s="59">
        <f>725*828116</f>
        <v>600384100</v>
      </c>
      <c r="M23" s="59"/>
      <c r="N23" s="59"/>
    </row>
    <row r="24" spans="1:15" x14ac:dyDescent="0.25">
      <c r="A24" s="12" t="str">
        <f>+[1]ESF2015!$A$26</f>
        <v>Total Activos no corriente</v>
      </c>
      <c r="B24" s="81">
        <f>+'1.Balances Generales'!C24-'1.Balances Generales'!B24</f>
        <v>0</v>
      </c>
      <c r="C24" s="81">
        <f t="shared" si="2"/>
        <v>0</v>
      </c>
      <c r="D24" s="20"/>
      <c r="E24" s="81">
        <f>+'1.Balances Generales'!E24-'1.Balances Generales'!D24</f>
        <v>-334977000</v>
      </c>
      <c r="F24" s="81">
        <f t="shared" si="0"/>
        <v>334977000</v>
      </c>
      <c r="G24" s="86" t="s">
        <v>31</v>
      </c>
      <c r="H24" s="81">
        <f>+'1.Balances Generales'!F24-'1.Balances Generales'!E24</f>
        <v>86174841</v>
      </c>
      <c r="I24" s="81">
        <f t="shared" si="1"/>
        <v>86174841</v>
      </c>
      <c r="J24" s="20" t="s">
        <v>30</v>
      </c>
      <c r="L24" s="59"/>
      <c r="M24" s="59"/>
      <c r="N24" s="59"/>
    </row>
    <row r="25" spans="1:15" x14ac:dyDescent="0.25">
      <c r="A25" s="5"/>
      <c r="B25" s="81">
        <f>+'1.Balances Generales'!C25-'1.Balances Generales'!B25</f>
        <v>0</v>
      </c>
      <c r="C25" s="81">
        <f t="shared" si="2"/>
        <v>0</v>
      </c>
      <c r="D25" s="20"/>
      <c r="E25" s="81">
        <f>+'1.Balances Generales'!E25-'1.Balances Generales'!D25</f>
        <v>0</v>
      </c>
      <c r="F25" s="81">
        <f t="shared" si="0"/>
        <v>0</v>
      </c>
      <c r="G25" s="86"/>
      <c r="H25" s="81">
        <f>+'1.Balances Generales'!F25-'1.Balances Generales'!E25</f>
        <v>0</v>
      </c>
      <c r="I25" s="81">
        <f t="shared" si="1"/>
        <v>0</v>
      </c>
      <c r="J25" s="86"/>
      <c r="L25" s="59"/>
      <c r="M25" s="59"/>
      <c r="N25" s="59"/>
    </row>
    <row r="26" spans="1:15" x14ac:dyDescent="0.25">
      <c r="A26" s="105"/>
      <c r="B26" s="81"/>
      <c r="C26" s="81"/>
      <c r="D26" s="20"/>
      <c r="E26" s="81"/>
      <c r="F26" s="81"/>
      <c r="G26" s="86"/>
      <c r="H26" s="81">
        <f>+'1.Balances Generales'!F26-'1.Balances Generales'!E26</f>
        <v>522448289</v>
      </c>
      <c r="I26" s="81">
        <f t="shared" si="1"/>
        <v>522448289</v>
      </c>
      <c r="J26" s="20" t="s">
        <v>30</v>
      </c>
      <c r="L26" s="59"/>
      <c r="M26" s="59"/>
      <c r="N26" s="59"/>
    </row>
    <row r="27" spans="1:15" x14ac:dyDescent="0.25">
      <c r="A27" s="5"/>
      <c r="B27" s="81">
        <f>+'1.Balances Generales'!C27-'1.Balances Generales'!B27</f>
        <v>0</v>
      </c>
      <c r="C27" s="81">
        <f t="shared" si="2"/>
        <v>0</v>
      </c>
      <c r="D27" s="20"/>
      <c r="E27" s="81">
        <f>+'1.Balances Generales'!E27-'1.Balances Generales'!D27</f>
        <v>0</v>
      </c>
      <c r="F27" s="81">
        <f t="shared" si="0"/>
        <v>0</v>
      </c>
      <c r="G27" s="86"/>
      <c r="H27" s="81">
        <f>+'1.Balances Generales'!F27-'1.Balances Generales'!E27</f>
        <v>0</v>
      </c>
      <c r="I27" s="81">
        <f t="shared" si="1"/>
        <v>0</v>
      </c>
      <c r="J27" s="86"/>
    </row>
    <row r="28" spans="1:15" x14ac:dyDescent="0.25">
      <c r="A28" s="8" t="s">
        <v>4</v>
      </c>
      <c r="B28" s="81">
        <f>+'1.Balances Generales'!C28-'1.Balances Generales'!B28</f>
        <v>0</v>
      </c>
      <c r="C28" s="81">
        <f t="shared" si="2"/>
        <v>0</v>
      </c>
      <c r="D28" s="20"/>
      <c r="E28" s="81">
        <f>+'1.Balances Generales'!E28-'1.Balances Generales'!D28</f>
        <v>0</v>
      </c>
      <c r="F28" s="81">
        <f t="shared" si="0"/>
        <v>0</v>
      </c>
      <c r="G28" s="86"/>
      <c r="H28" s="81">
        <f>+'1.Balances Generales'!F28-'1.Balances Generales'!E28</f>
        <v>0</v>
      </c>
      <c r="I28" s="81">
        <f t="shared" si="1"/>
        <v>0</v>
      </c>
      <c r="J28" s="86"/>
    </row>
    <row r="29" spans="1:15" x14ac:dyDescent="0.25">
      <c r="A29" s="8"/>
      <c r="B29" s="81">
        <f>+'1.Balances Generales'!C29-'1.Balances Generales'!B29</f>
        <v>0</v>
      </c>
      <c r="C29" s="81">
        <f t="shared" si="2"/>
        <v>0</v>
      </c>
      <c r="D29" s="20"/>
      <c r="E29" s="81">
        <f>+'1.Balances Generales'!E29-'1.Balances Generales'!D29</f>
        <v>0</v>
      </c>
      <c r="F29" s="81">
        <f t="shared" si="0"/>
        <v>0</v>
      </c>
      <c r="G29" s="86"/>
      <c r="H29" s="81">
        <f>+'1.Balances Generales'!F29-'1.Balances Generales'!E29</f>
        <v>0</v>
      </c>
      <c r="I29" s="81">
        <f t="shared" si="1"/>
        <v>0</v>
      </c>
      <c r="J29" s="86"/>
    </row>
    <row r="30" spans="1:15" x14ac:dyDescent="0.25">
      <c r="A30" s="11" t="s">
        <v>1</v>
      </c>
      <c r="B30" s="81">
        <f>+'1.Balances Generales'!C30-'1.Balances Generales'!B30</f>
        <v>0</v>
      </c>
      <c r="C30" s="81">
        <f t="shared" si="2"/>
        <v>0</v>
      </c>
      <c r="D30" s="20"/>
      <c r="E30" s="81">
        <f>+'1.Balances Generales'!E30-'1.Balances Generales'!D30</f>
        <v>0</v>
      </c>
      <c r="F30" s="81">
        <f t="shared" si="0"/>
        <v>0</v>
      </c>
      <c r="G30" s="86"/>
      <c r="H30" s="81">
        <f>+'1.Balances Generales'!F30-'1.Balances Generales'!E30</f>
        <v>0</v>
      </c>
      <c r="I30" s="81">
        <f t="shared" si="1"/>
        <v>0</v>
      </c>
      <c r="J30" s="86"/>
    </row>
    <row r="31" spans="1:15" x14ac:dyDescent="0.2">
      <c r="A31" s="11" t="str">
        <f>+[1]ESF2015!$E$9</f>
        <v>Cuentas comerciales por pagar y otras cuentas comerciales por pagar</v>
      </c>
      <c r="B31" s="81">
        <f>+'1.Balances Generales'!C31-'1.Balances Generales'!B31</f>
        <v>128667555</v>
      </c>
      <c r="C31" s="81">
        <f t="shared" si="2"/>
        <v>128667555</v>
      </c>
      <c r="D31" s="20" t="s">
        <v>32</v>
      </c>
      <c r="E31" s="81">
        <f>+'1.Balances Generales'!E31-'1.Balances Generales'!D31</f>
        <v>841683269</v>
      </c>
      <c r="F31" s="81">
        <f t="shared" si="0"/>
        <v>841683269</v>
      </c>
      <c r="G31" s="20" t="s">
        <v>32</v>
      </c>
      <c r="H31" s="81">
        <f>+'1.Balances Generales'!F31-'1.Balances Generales'!E31</f>
        <v>820910302</v>
      </c>
      <c r="I31" s="81">
        <f t="shared" si="1"/>
        <v>820910302</v>
      </c>
      <c r="J31" s="20" t="s">
        <v>32</v>
      </c>
    </row>
    <row r="32" spans="1:15" x14ac:dyDescent="0.2">
      <c r="A32" s="5" t="str">
        <f>+[1]ESF2015!$E$10</f>
        <v>Costos y Gastos por Pagar</v>
      </c>
      <c r="B32" s="81">
        <f>+'1.Balances Generales'!C32-'1.Balances Generales'!B32</f>
        <v>-1332445</v>
      </c>
      <c r="C32" s="81">
        <f t="shared" si="2"/>
        <v>1332445</v>
      </c>
      <c r="D32" s="20" t="s">
        <v>33</v>
      </c>
      <c r="E32" s="81">
        <f>+'1.Balances Generales'!E32-'1.Balances Generales'!D32</f>
        <v>4587669</v>
      </c>
      <c r="F32" s="81">
        <f t="shared" si="0"/>
        <v>4587669</v>
      </c>
      <c r="G32" s="20" t="s">
        <v>32</v>
      </c>
      <c r="H32" s="81">
        <f>+'1.Balances Generales'!F32-'1.Balances Generales'!E32</f>
        <v>341648511</v>
      </c>
      <c r="I32" s="81">
        <f t="shared" si="1"/>
        <v>341648511</v>
      </c>
      <c r="J32" s="20" t="s">
        <v>32</v>
      </c>
    </row>
    <row r="33" spans="1:10" x14ac:dyDescent="0.25">
      <c r="A33" s="5" t="str">
        <f>+'[1]ESF2016-2015'!$G$12</f>
        <v>Deuda con Accionistas o Socios</v>
      </c>
      <c r="B33" s="81">
        <f>+'1.Balances Generales'!C33-'1.Balances Generales'!B33</f>
        <v>130000000</v>
      </c>
      <c r="C33" s="81">
        <f t="shared" si="2"/>
        <v>130000000</v>
      </c>
      <c r="D33" s="20" t="s">
        <v>32</v>
      </c>
      <c r="E33" s="81">
        <f>+'1.Balances Generales'!E33-'1.Balances Generales'!D33</f>
        <v>0</v>
      </c>
      <c r="F33" s="81">
        <f t="shared" si="0"/>
        <v>0</v>
      </c>
      <c r="G33" s="86"/>
      <c r="H33" s="81">
        <f>+'1.Balances Generales'!F33-'1.Balances Generales'!E33</f>
        <v>233795000</v>
      </c>
      <c r="I33" s="81">
        <f t="shared" si="1"/>
        <v>233795000</v>
      </c>
      <c r="J33" s="20" t="s">
        <v>32</v>
      </c>
    </row>
    <row r="34" spans="1:10" x14ac:dyDescent="0.25">
      <c r="A34" s="5" t="str">
        <f>+[1]ESF2015!$E$11</f>
        <v>Dividendos o Participaciones por Pagar</v>
      </c>
      <c r="B34" s="81">
        <f>+'1.Balances Generales'!C34-'1.Balances Generales'!B34</f>
        <v>0</v>
      </c>
      <c r="C34" s="81">
        <f t="shared" si="2"/>
        <v>0</v>
      </c>
      <c r="D34" s="20"/>
      <c r="E34" s="81">
        <f>+'1.Balances Generales'!E34-'1.Balances Generales'!D34</f>
        <v>0</v>
      </c>
      <c r="F34" s="81">
        <f t="shared" si="0"/>
        <v>0</v>
      </c>
      <c r="G34" s="86"/>
      <c r="H34" s="81">
        <f>+'1.Balances Generales'!F34-'1.Balances Generales'!E34</f>
        <v>0</v>
      </c>
      <c r="I34" s="81">
        <f t="shared" si="1"/>
        <v>0</v>
      </c>
      <c r="J34" s="86"/>
    </row>
    <row r="35" spans="1:10" x14ac:dyDescent="0.25">
      <c r="A35" s="5" t="str">
        <f>+'[2]ESF2019-2018 (4)'!$G$14</f>
        <v>Retencion en la Fuente</v>
      </c>
      <c r="B35" s="81">
        <f>+'1.Balances Generales'!C35-'1.Balances Generales'!B35</f>
        <v>0</v>
      </c>
      <c r="C35" s="81">
        <f t="shared" si="2"/>
        <v>0</v>
      </c>
      <c r="D35" s="20"/>
      <c r="E35" s="81">
        <f>+'1.Balances Generales'!E35-'1.Balances Generales'!D35</f>
        <v>0</v>
      </c>
      <c r="F35" s="81">
        <f t="shared" si="0"/>
        <v>0</v>
      </c>
      <c r="G35" s="86"/>
      <c r="H35" s="81">
        <f>+'1.Balances Generales'!F35-'1.Balances Generales'!E35</f>
        <v>270391</v>
      </c>
      <c r="I35" s="81">
        <f t="shared" si="1"/>
        <v>270391</v>
      </c>
      <c r="J35" s="20" t="s">
        <v>32</v>
      </c>
    </row>
    <row r="36" spans="1:10" x14ac:dyDescent="0.25">
      <c r="A36" s="5" t="str">
        <f>+'[2]ESF2019-2018 (4)'!$G$15</f>
        <v>Retenciones y Aportes de Nomina</v>
      </c>
      <c r="B36" s="81">
        <f>+'1.Balances Generales'!C36-'1.Balances Generales'!B36</f>
        <v>0</v>
      </c>
      <c r="C36" s="81">
        <f t="shared" si="2"/>
        <v>0</v>
      </c>
      <c r="D36" s="20"/>
      <c r="E36" s="81">
        <f>+'1.Balances Generales'!E36-'1.Balances Generales'!D36</f>
        <v>0</v>
      </c>
      <c r="F36" s="81">
        <f t="shared" si="0"/>
        <v>0</v>
      </c>
      <c r="G36" s="86"/>
      <c r="H36" s="81">
        <f>+'1.Balances Generales'!F36-'1.Balances Generales'!E36</f>
        <v>415200</v>
      </c>
      <c r="I36" s="81">
        <f t="shared" si="1"/>
        <v>415200</v>
      </c>
      <c r="J36" s="20" t="s">
        <v>32</v>
      </c>
    </row>
    <row r="37" spans="1:10" x14ac:dyDescent="0.2">
      <c r="A37" s="5" t="str">
        <f>+'[1]ESF2018-2017 (3)'!$G$14</f>
        <v>Acreedores Varios</v>
      </c>
      <c r="B37" s="81">
        <f>+'1.Balances Generales'!C37-'1.Balances Generales'!B37</f>
        <v>0</v>
      </c>
      <c r="C37" s="81">
        <f t="shared" si="2"/>
        <v>0</v>
      </c>
      <c r="D37" s="20"/>
      <c r="E37" s="81">
        <f>+'1.Balances Generales'!E37-'1.Balances Generales'!D37</f>
        <v>837095600</v>
      </c>
      <c r="F37" s="81">
        <f t="shared" si="0"/>
        <v>837095600</v>
      </c>
      <c r="G37" s="20" t="s">
        <v>32</v>
      </c>
      <c r="H37" s="81">
        <f>+'1.Balances Generales'!F37-'1.Balances Generales'!E37</f>
        <v>244781200</v>
      </c>
      <c r="I37" s="81">
        <f t="shared" si="1"/>
        <v>244781200</v>
      </c>
      <c r="J37" s="20" t="s">
        <v>32</v>
      </c>
    </row>
    <row r="38" spans="1:10" x14ac:dyDescent="0.2">
      <c r="A38" s="12" t="str">
        <f>+[1]ESF2015!$E$12</f>
        <v>Impuestos, gravámenes, tasas</v>
      </c>
      <c r="B38" s="81">
        <f>+'1.Balances Generales'!C38-'1.Balances Generales'!B38</f>
        <v>9852000</v>
      </c>
      <c r="C38" s="81">
        <f t="shared" si="2"/>
        <v>9852000</v>
      </c>
      <c r="D38" s="20" t="s">
        <v>32</v>
      </c>
      <c r="E38" s="81">
        <f>+'1.Balances Generales'!E38-'1.Balances Generales'!D38</f>
        <v>25117000</v>
      </c>
      <c r="F38" s="81">
        <f t="shared" si="0"/>
        <v>25117000</v>
      </c>
      <c r="G38" s="20" t="s">
        <v>32</v>
      </c>
      <c r="H38" s="81">
        <f>+'1.Balances Generales'!F38-'1.Balances Generales'!E38</f>
        <v>159566217</v>
      </c>
      <c r="I38" s="81">
        <f t="shared" si="1"/>
        <v>159566217</v>
      </c>
      <c r="J38" s="20" t="s">
        <v>32</v>
      </c>
    </row>
    <row r="39" spans="1:10" x14ac:dyDescent="0.2">
      <c r="A39" s="5" t="str">
        <f>+[1]ESF2015!$E$13</f>
        <v>De Renta  y Complementario</v>
      </c>
      <c r="B39" s="81">
        <f>+'1.Balances Generales'!C39-'1.Balances Generales'!B39</f>
        <v>7244000</v>
      </c>
      <c r="C39" s="81">
        <f t="shared" si="2"/>
        <v>7244000</v>
      </c>
      <c r="D39" s="20" t="s">
        <v>32</v>
      </c>
      <c r="E39" s="81">
        <f>+'1.Balances Generales'!E39-'1.Balances Generales'!D39</f>
        <v>13233000</v>
      </c>
      <c r="F39" s="81">
        <f t="shared" si="0"/>
        <v>13233000</v>
      </c>
      <c r="G39" s="20" t="s">
        <v>32</v>
      </c>
      <c r="H39" s="81">
        <f>+'1.Balances Generales'!F39-'1.Balances Generales'!E39</f>
        <v>0</v>
      </c>
      <c r="I39" s="81">
        <f t="shared" si="1"/>
        <v>0</v>
      </c>
      <c r="J39" s="20"/>
    </row>
    <row r="40" spans="1:10" x14ac:dyDescent="0.25">
      <c r="A40" s="5" t="str">
        <f>+[1]ESF2015!$E$14</f>
        <v>De Renta para la Equidad - CREE</v>
      </c>
      <c r="B40" s="81">
        <f>+'1.Balances Generales'!C40-'1.Balances Generales'!B40</f>
        <v>2608000</v>
      </c>
      <c r="C40" s="81">
        <f t="shared" si="2"/>
        <v>2608000</v>
      </c>
      <c r="D40" s="20" t="s">
        <v>32</v>
      </c>
      <c r="E40" s="81">
        <f>+'1.Balances Generales'!E40-'1.Balances Generales'!D40</f>
        <v>0</v>
      </c>
      <c r="F40" s="81">
        <f t="shared" si="0"/>
        <v>0</v>
      </c>
      <c r="G40" s="86"/>
      <c r="H40" s="81">
        <f>+'1.Balances Generales'!F40-'1.Balances Generales'!E40</f>
        <v>0</v>
      </c>
      <c r="I40" s="81">
        <f t="shared" si="1"/>
        <v>0</v>
      </c>
      <c r="J40" s="86"/>
    </row>
    <row r="41" spans="1:10" x14ac:dyDescent="0.2">
      <c r="A41" s="5" t="str">
        <f>+'[1]ESF2018-2017 (3)'!$G$18</f>
        <v>Impuesto Ganancia Ocasional</v>
      </c>
      <c r="B41" s="81">
        <f>+'1.Balances Generales'!C41-'1.Balances Generales'!B41</f>
        <v>0</v>
      </c>
      <c r="C41" s="81">
        <f t="shared" si="2"/>
        <v>0</v>
      </c>
      <c r="D41" s="20"/>
      <c r="E41" s="81">
        <f>+'1.Balances Generales'!E41-'1.Balances Generales'!D41</f>
        <v>11884000</v>
      </c>
      <c r="F41" s="81">
        <f t="shared" si="0"/>
        <v>11884000</v>
      </c>
      <c r="G41" s="20" t="s">
        <v>32</v>
      </c>
      <c r="H41" s="81">
        <f>+'1.Balances Generales'!F41-'1.Balances Generales'!E41</f>
        <v>0</v>
      </c>
      <c r="I41" s="81">
        <f t="shared" si="1"/>
        <v>0</v>
      </c>
      <c r="J41" s="20"/>
    </row>
    <row r="42" spans="1:10" x14ac:dyDescent="0.25">
      <c r="A42" s="5" t="str">
        <f>+'[2]ESF2019-2018 (4)'!$G$21</f>
        <v>Impuesto a la Propiedad Raiz</v>
      </c>
      <c r="B42" s="81">
        <f>+'1.Balances Generales'!C42-'1.Balances Generales'!B42</f>
        <v>0</v>
      </c>
      <c r="C42" s="81">
        <f t="shared" si="2"/>
        <v>0</v>
      </c>
      <c r="D42" s="20"/>
      <c r="E42" s="81">
        <f>+'1.Balances Generales'!E42-'1.Balances Generales'!D42</f>
        <v>0</v>
      </c>
      <c r="F42" s="81">
        <f t="shared" si="0"/>
        <v>0</v>
      </c>
      <c r="G42" s="86"/>
      <c r="H42" s="81">
        <f>+'1.Balances Generales'!F42-'1.Balances Generales'!E42</f>
        <v>159566217</v>
      </c>
      <c r="I42" s="81">
        <f t="shared" si="1"/>
        <v>159566217</v>
      </c>
      <c r="J42" s="20" t="s">
        <v>32</v>
      </c>
    </row>
    <row r="43" spans="1:10" x14ac:dyDescent="0.25">
      <c r="A43" s="5" t="str">
        <f>+'[2]ESF2019-2018 (4)'!$G$22</f>
        <v>Beneficios a los Empleados</v>
      </c>
      <c r="B43" s="81">
        <f>+'1.Balances Generales'!C43-'1.Balances Generales'!B43</f>
        <v>0</v>
      </c>
      <c r="C43" s="81">
        <f t="shared" si="2"/>
        <v>0</v>
      </c>
      <c r="D43" s="20"/>
      <c r="E43" s="81">
        <f>+'1.Balances Generales'!E43-'1.Balances Generales'!D43</f>
        <v>0</v>
      </c>
      <c r="F43" s="81">
        <f t="shared" si="0"/>
        <v>0</v>
      </c>
      <c r="G43" s="86"/>
      <c r="H43" s="81">
        <f>+'1.Balances Generales'!F43-'1.Balances Generales'!E43</f>
        <v>3033622</v>
      </c>
      <c r="I43" s="81">
        <f t="shared" si="1"/>
        <v>3033622</v>
      </c>
      <c r="J43" s="20" t="s">
        <v>32</v>
      </c>
    </row>
    <row r="44" spans="1:10" x14ac:dyDescent="0.2">
      <c r="A44" s="12"/>
      <c r="B44" s="81"/>
      <c r="C44" s="81"/>
      <c r="D44" s="20"/>
      <c r="E44" s="81"/>
      <c r="F44" s="81"/>
      <c r="G44" s="20"/>
      <c r="H44" s="81">
        <f>+'1.Balances Generales'!F44-'1.Balances Generales'!E44</f>
        <v>983510141</v>
      </c>
      <c r="I44" s="81">
        <f t="shared" si="1"/>
        <v>983510141</v>
      </c>
      <c r="J44" s="20" t="s">
        <v>32</v>
      </c>
    </row>
    <row r="45" spans="1:10" x14ac:dyDescent="0.25">
      <c r="A45" s="11" t="s">
        <v>2</v>
      </c>
      <c r="B45" s="81">
        <f>+'1.Balances Generales'!C45-'1.Balances Generales'!B45</f>
        <v>0</v>
      </c>
      <c r="C45" s="81">
        <f t="shared" si="2"/>
        <v>0</v>
      </c>
      <c r="D45" s="20"/>
      <c r="E45" s="81">
        <f>+'1.Balances Generales'!E45-'1.Balances Generales'!D45</f>
        <v>0</v>
      </c>
      <c r="F45" s="81">
        <f t="shared" si="0"/>
        <v>0</v>
      </c>
      <c r="G45" s="86"/>
      <c r="H45" s="81">
        <f>+'1.Balances Generales'!F45-'1.Balances Generales'!E45</f>
        <v>0</v>
      </c>
      <c r="I45" s="81">
        <f t="shared" si="1"/>
        <v>0</v>
      </c>
      <c r="J45" s="86"/>
    </row>
    <row r="46" spans="1:10" x14ac:dyDescent="0.2">
      <c r="A46" s="12" t="str">
        <f>+[1]ESF2015!$E$17</f>
        <v>Diferidos</v>
      </c>
      <c r="B46" s="81">
        <f>+'1.Balances Generales'!C46-'1.Balances Generales'!B46</f>
        <v>-8336019</v>
      </c>
      <c r="C46" s="81">
        <f t="shared" si="2"/>
        <v>8336019</v>
      </c>
      <c r="D46" s="20" t="s">
        <v>30</v>
      </c>
      <c r="E46" s="81">
        <f>+'1.Balances Generales'!E46-'1.Balances Generales'!D46</f>
        <v>-11703593</v>
      </c>
      <c r="F46" s="81">
        <f t="shared" si="0"/>
        <v>11703593</v>
      </c>
      <c r="G46" s="20" t="s">
        <v>30</v>
      </c>
      <c r="H46" s="81">
        <f>+'1.Balances Generales'!F46-'1.Balances Generales'!E46</f>
        <v>0</v>
      </c>
      <c r="I46" s="81">
        <f t="shared" si="1"/>
        <v>0</v>
      </c>
      <c r="J46" s="20"/>
    </row>
    <row r="47" spans="1:10" x14ac:dyDescent="0.2">
      <c r="A47" s="5" t="str">
        <f>+[1]ESF2015!$E$18</f>
        <v>Impuesto diferido</v>
      </c>
      <c r="B47" s="81">
        <f>+'1.Balances Generales'!C47-'1.Balances Generales'!B47</f>
        <v>-8336019</v>
      </c>
      <c r="C47" s="81">
        <f t="shared" si="2"/>
        <v>8336019</v>
      </c>
      <c r="D47" s="20" t="s">
        <v>30</v>
      </c>
      <c r="E47" s="81">
        <f>+'1.Balances Generales'!E47-'1.Balances Generales'!D47</f>
        <v>-11703593</v>
      </c>
      <c r="F47" s="81">
        <f t="shared" si="0"/>
        <v>11703593</v>
      </c>
      <c r="G47" s="20" t="s">
        <v>30</v>
      </c>
      <c r="H47" s="81">
        <f>+'1.Balances Generales'!F47-'1.Balances Generales'!E47</f>
        <v>0</v>
      </c>
      <c r="I47" s="81">
        <f t="shared" si="1"/>
        <v>0</v>
      </c>
      <c r="J47" s="20"/>
    </row>
    <row r="48" spans="1:10" x14ac:dyDescent="0.25">
      <c r="A48" s="5" t="str">
        <f>+'[1]ESF2016-2015'!$G$23</f>
        <v>Anticipo y avances recibidos</v>
      </c>
      <c r="B48" s="81">
        <f>+'1.Balances Generales'!C48-'1.Balances Generales'!B48</f>
        <v>106634196</v>
      </c>
      <c r="C48" s="81">
        <f t="shared" si="2"/>
        <v>106634196</v>
      </c>
      <c r="D48" s="86" t="s">
        <v>31</v>
      </c>
      <c r="E48" s="81">
        <f>+'1.Balances Generales'!E48-'1.Balances Generales'!D48</f>
        <v>-5000000</v>
      </c>
      <c r="F48" s="81">
        <f t="shared" si="0"/>
        <v>5000000</v>
      </c>
      <c r="G48" s="20" t="s">
        <v>30</v>
      </c>
      <c r="H48" s="81">
        <f>+'1.Balances Generales'!F48-'1.Balances Generales'!E48</f>
        <v>-36357373</v>
      </c>
      <c r="I48" s="81">
        <f t="shared" si="1"/>
        <v>36357373</v>
      </c>
      <c r="J48" s="20" t="s">
        <v>30</v>
      </c>
    </row>
    <row r="49" spans="1:10" x14ac:dyDescent="0.25">
      <c r="A49" s="12"/>
      <c r="B49" s="81"/>
      <c r="C49" s="81"/>
      <c r="D49" s="86"/>
      <c r="E49" s="81"/>
      <c r="F49" s="81"/>
      <c r="G49" s="20"/>
      <c r="H49" s="81">
        <f>+'1.Balances Generales'!F49-'1.Balances Generales'!E49</f>
        <v>-36357373</v>
      </c>
      <c r="I49" s="81">
        <f t="shared" si="1"/>
        <v>36357373</v>
      </c>
      <c r="J49" s="20" t="s">
        <v>30</v>
      </c>
    </row>
    <row r="50" spans="1:10" x14ac:dyDescent="0.25">
      <c r="A50" s="36"/>
      <c r="B50" s="81"/>
      <c r="C50" s="81"/>
      <c r="D50" s="86"/>
      <c r="E50" s="81"/>
      <c r="F50" s="81"/>
      <c r="G50" s="86"/>
      <c r="H50" s="81">
        <f>+'1.Balances Generales'!F50-'1.Balances Generales'!E50</f>
        <v>0</v>
      </c>
      <c r="I50" s="81">
        <f t="shared" si="1"/>
        <v>0</v>
      </c>
      <c r="J50" s="86"/>
    </row>
    <row r="51" spans="1:10" x14ac:dyDescent="0.25">
      <c r="A51" s="5"/>
      <c r="B51" s="81">
        <f>+'1.Balances Generales'!C52-'1.Balances Generales'!B52</f>
        <v>0</v>
      </c>
      <c r="C51" s="81">
        <f t="shared" si="2"/>
        <v>0</v>
      </c>
      <c r="D51" s="20"/>
      <c r="E51" s="81">
        <f>+'1.Balances Generales'!E52-'1.Balances Generales'!D52</f>
        <v>0</v>
      </c>
      <c r="F51" s="81">
        <f t="shared" si="0"/>
        <v>0</v>
      </c>
      <c r="G51" s="86"/>
      <c r="H51" s="81">
        <f>+'1.Balances Generales'!F51-'1.Balances Generales'!E51</f>
        <v>947152768</v>
      </c>
      <c r="I51" s="81">
        <f t="shared" si="1"/>
        <v>947152768</v>
      </c>
      <c r="J51" s="86" t="s">
        <v>31</v>
      </c>
    </row>
    <row r="52" spans="1:10" x14ac:dyDescent="0.25">
      <c r="A52" s="8" t="s">
        <v>6</v>
      </c>
      <c r="B52" s="81">
        <f>+'1.Balances Generales'!C53-'1.Balances Generales'!B53</f>
        <v>0</v>
      </c>
      <c r="C52" s="81">
        <f t="shared" si="2"/>
        <v>0</v>
      </c>
      <c r="D52" s="20"/>
      <c r="E52" s="81">
        <f>+'1.Balances Generales'!E53-'1.Balances Generales'!D53</f>
        <v>0</v>
      </c>
      <c r="F52" s="81">
        <f t="shared" si="0"/>
        <v>0</v>
      </c>
      <c r="G52" s="86"/>
      <c r="H52" s="81">
        <f>+'1.Balances Generales'!F52-'1.Balances Generales'!E52</f>
        <v>0</v>
      </c>
      <c r="I52" s="81">
        <f t="shared" si="1"/>
        <v>0</v>
      </c>
      <c r="J52" s="86"/>
    </row>
    <row r="53" spans="1:10" x14ac:dyDescent="0.25">
      <c r="A53" s="12" t="str">
        <f>+[1]ESF2015!$E$23</f>
        <v>Capital social</v>
      </c>
      <c r="B53" s="81">
        <f>+'1.Balances Generales'!C54-'1.Balances Generales'!B54</f>
        <v>0</v>
      </c>
      <c r="C53" s="81">
        <f t="shared" si="2"/>
        <v>0</v>
      </c>
      <c r="D53" s="20"/>
      <c r="E53" s="81">
        <f>+'1.Balances Generales'!E54-'1.Balances Generales'!D54</f>
        <v>0</v>
      </c>
      <c r="F53" s="81">
        <f t="shared" si="0"/>
        <v>0</v>
      </c>
      <c r="G53" s="86"/>
      <c r="H53" s="81">
        <f>+'1.Balances Generales'!F53-'1.Balances Generales'!E53</f>
        <v>0</v>
      </c>
      <c r="I53" s="81">
        <f t="shared" si="1"/>
        <v>0</v>
      </c>
      <c r="J53" s="86"/>
    </row>
    <row r="54" spans="1:10" x14ac:dyDescent="0.25">
      <c r="A54" s="5" t="str">
        <f>+[1]ESF2015!$E$24</f>
        <v>Capital Suscrito y Pagado</v>
      </c>
      <c r="B54" s="81">
        <f>+'1.Balances Generales'!C55-'1.Balances Generales'!B55</f>
        <v>0</v>
      </c>
      <c r="C54" s="81">
        <f t="shared" si="2"/>
        <v>0</v>
      </c>
      <c r="D54" s="20"/>
      <c r="E54" s="81">
        <f>+'1.Balances Generales'!E55-'1.Balances Generales'!D55</f>
        <v>0</v>
      </c>
      <c r="F54" s="81">
        <f t="shared" si="0"/>
        <v>0</v>
      </c>
      <c r="G54" s="86"/>
      <c r="H54" s="81">
        <f>+'1.Balances Generales'!F54-'1.Balances Generales'!E54</f>
        <v>0</v>
      </c>
      <c r="I54" s="81">
        <f t="shared" si="1"/>
        <v>0</v>
      </c>
      <c r="J54" s="86"/>
    </row>
    <row r="55" spans="1:10" x14ac:dyDescent="0.25">
      <c r="A55" s="12" t="str">
        <f>+[1]ESF2015!$E$25</f>
        <v>Ganancias o perdidas Retenidas</v>
      </c>
      <c r="B55" s="81">
        <f>+'1.Balances Generales'!C56-'1.Balances Generales'!B56</f>
        <v>27458831</v>
      </c>
      <c r="C55" s="81">
        <f t="shared" si="2"/>
        <v>27458831</v>
      </c>
      <c r="D55" s="86" t="s">
        <v>31</v>
      </c>
      <c r="E55" s="81">
        <f>+'1.Balances Generales'!E56-'1.Balances Generales'!D56</f>
        <v>-746938008</v>
      </c>
      <c r="F55" s="81">
        <f t="shared" si="0"/>
        <v>746938008</v>
      </c>
      <c r="G55" s="20" t="s">
        <v>30</v>
      </c>
      <c r="H55" s="81">
        <f>+'1.Balances Generales'!F55-'1.Balances Generales'!E55</f>
        <v>0</v>
      </c>
      <c r="I55" s="81">
        <f t="shared" si="1"/>
        <v>0</v>
      </c>
      <c r="J55" s="20"/>
    </row>
    <row r="56" spans="1:10" x14ac:dyDescent="0.25">
      <c r="A56" s="5" t="str">
        <f>+'[1]ESF2016-2015'!$G$32</f>
        <v>Ganancias o Perdidas acumuladas</v>
      </c>
      <c r="B56" s="81">
        <f>+'1.Balances Generales'!C57-'1.Balances Generales'!B57</f>
        <v>57666116</v>
      </c>
      <c r="C56" s="81">
        <f t="shared" si="2"/>
        <v>57666116</v>
      </c>
      <c r="D56" s="86" t="s">
        <v>31</v>
      </c>
      <c r="E56" s="81">
        <f>+'1.Balances Generales'!E57-'1.Balances Generales'!D57</f>
        <v>28617586</v>
      </c>
      <c r="F56" s="81">
        <f t="shared" si="0"/>
        <v>28617586</v>
      </c>
      <c r="G56" s="86" t="s">
        <v>31</v>
      </c>
      <c r="H56" s="81">
        <f>+'1.Balances Generales'!F56-'1.Balances Generales'!E56</f>
        <v>-424704479</v>
      </c>
      <c r="I56" s="81">
        <f t="shared" si="1"/>
        <v>424704479</v>
      </c>
      <c r="J56" s="20" t="s">
        <v>30</v>
      </c>
    </row>
    <row r="57" spans="1:10" x14ac:dyDescent="0.2">
      <c r="A57" s="5" t="str">
        <f>+[1]ESF2015!$E$27</f>
        <v>Resultados del Ejercicio</v>
      </c>
      <c r="B57" s="81">
        <f>+'1.Balances Generales'!C58-'1.Balances Generales'!B58</f>
        <v>-30207285</v>
      </c>
      <c r="C57" s="81">
        <f t="shared" si="2"/>
        <v>30207285</v>
      </c>
      <c r="D57" s="20" t="s">
        <v>30</v>
      </c>
      <c r="E57" s="81">
        <f>+'1.Balances Generales'!E58-'1.Balances Generales'!D58</f>
        <v>-775555594</v>
      </c>
      <c r="F57" s="81">
        <f t="shared" si="0"/>
        <v>775555594</v>
      </c>
      <c r="G57" s="20" t="s">
        <v>30</v>
      </c>
      <c r="H57" s="81">
        <f>+'1.Balances Generales'!F57-'1.Balances Generales'!E57</f>
        <v>-746938008</v>
      </c>
      <c r="I57" s="81">
        <f t="shared" si="1"/>
        <v>746938008</v>
      </c>
      <c r="J57" s="20" t="s">
        <v>30</v>
      </c>
    </row>
    <row r="58" spans="1:10" x14ac:dyDescent="0.2">
      <c r="A58" s="5" t="str">
        <f>+[1]ESF2015!$E$28</f>
        <v>Ajustes por adopcion NIIF pymes</v>
      </c>
      <c r="B58" s="81">
        <f>+'1.Balances Generales'!C59-'1.Balances Generales'!B59</f>
        <v>0</v>
      </c>
      <c r="C58" s="81">
        <f t="shared" si="2"/>
        <v>0</v>
      </c>
      <c r="D58" s="20"/>
      <c r="E58" s="81">
        <f>+'1.Balances Generales'!E59-'1.Balances Generales'!D59</f>
        <v>0</v>
      </c>
      <c r="F58" s="81">
        <f t="shared" si="0"/>
        <v>0</v>
      </c>
      <c r="G58" s="20"/>
      <c r="H58" s="81">
        <f>+'1.Balances Generales'!F58-'1.Balances Generales'!E58</f>
        <v>322233529</v>
      </c>
      <c r="I58" s="81">
        <f t="shared" si="1"/>
        <v>322233529</v>
      </c>
      <c r="J58" s="20" t="s">
        <v>31</v>
      </c>
    </row>
    <row r="59" spans="1:10" x14ac:dyDescent="0.2">
      <c r="A59" s="12" t="str">
        <f>+[1]ESF2015!$E$29</f>
        <v>Superavit por Valorizaciones</v>
      </c>
      <c r="B59" s="81">
        <f>+'1.Balances Generales'!C60-'1.Balances Generales'!B60</f>
        <v>0</v>
      </c>
      <c r="C59" s="81">
        <f t="shared" si="2"/>
        <v>0</v>
      </c>
      <c r="D59" s="20"/>
      <c r="E59" s="81">
        <f>+'1.Balances Generales'!E60-'1.Balances Generales'!D60</f>
        <v>-114047000</v>
      </c>
      <c r="F59" s="81">
        <f t="shared" si="0"/>
        <v>114047000</v>
      </c>
      <c r="G59" s="20" t="s">
        <v>30</v>
      </c>
      <c r="H59" s="81">
        <f>+'1.Balances Generales'!F59-'1.Balances Generales'!E59</f>
        <v>0</v>
      </c>
      <c r="I59" s="81">
        <f t="shared" si="1"/>
        <v>0</v>
      </c>
      <c r="J59" s="20"/>
    </row>
    <row r="60" spans="1:10" x14ac:dyDescent="0.2">
      <c r="A60" s="5" t="str">
        <f>+[1]ESF2015!$E$30</f>
        <v>Valorizacion de Terrenos</v>
      </c>
      <c r="B60" s="81">
        <f>+'1.Balances Generales'!C61-'1.Balances Generales'!B61</f>
        <v>0</v>
      </c>
      <c r="C60" s="81">
        <f t="shared" si="2"/>
        <v>0</v>
      </c>
      <c r="D60" s="20"/>
      <c r="E60" s="81">
        <f>+'1.Balances Generales'!E61-'1.Balances Generales'!D61</f>
        <v>-114047000</v>
      </c>
      <c r="F60" s="81">
        <f t="shared" si="0"/>
        <v>114047000</v>
      </c>
      <c r="G60" s="20" t="s">
        <v>30</v>
      </c>
      <c r="H60" s="81">
        <f>+'1.Balances Generales'!F60-'1.Balances Generales'!E60</f>
        <v>0</v>
      </c>
      <c r="I60" s="81">
        <f t="shared" si="1"/>
        <v>0</v>
      </c>
      <c r="J60" s="20"/>
    </row>
    <row r="61" spans="1:10" x14ac:dyDescent="0.2">
      <c r="A61" s="12"/>
      <c r="B61" s="81">
        <f>+'1.Balances Generales'!C62-'1.Balances Generales'!B62</f>
        <v>0</v>
      </c>
      <c r="C61" s="81">
        <f t="shared" si="2"/>
        <v>0</v>
      </c>
      <c r="D61" s="20"/>
      <c r="E61" s="81">
        <f>+'1.Balances Generales'!E62-'1.Balances Generales'!D62</f>
        <v>0</v>
      </c>
      <c r="F61" s="81">
        <f t="shared" si="0"/>
        <v>0</v>
      </c>
      <c r="G61" s="20"/>
      <c r="H61" s="81">
        <f>+'1.Balances Generales'!F61-'1.Balances Generales'!E61</f>
        <v>0</v>
      </c>
      <c r="I61" s="81">
        <f t="shared" si="1"/>
        <v>0</v>
      </c>
      <c r="J61" s="20"/>
    </row>
    <row r="62" spans="1:10" x14ac:dyDescent="0.25">
      <c r="A62" s="36"/>
      <c r="B62" s="81"/>
      <c r="C62" s="81"/>
      <c r="D62" s="86"/>
      <c r="E62" s="81"/>
      <c r="F62" s="81"/>
      <c r="G62" s="20"/>
      <c r="H62" s="81">
        <f>+'1.Balances Generales'!F62-'1.Balances Generales'!E62</f>
        <v>0</v>
      </c>
      <c r="I62" s="81">
        <f t="shared" si="1"/>
        <v>0</v>
      </c>
      <c r="J62" s="20"/>
    </row>
    <row r="63" spans="1:10" x14ac:dyDescent="0.2">
      <c r="A63" s="5"/>
      <c r="B63" s="81">
        <f>+'1.Balances Generales'!C64-'1.Balances Generales'!B64</f>
        <v>0</v>
      </c>
      <c r="C63" s="81">
        <f t="shared" si="2"/>
        <v>0</v>
      </c>
      <c r="D63" s="20"/>
      <c r="E63" s="81">
        <f>+'1.Balances Generales'!E64-'1.Balances Generales'!D64</f>
        <v>0</v>
      </c>
      <c r="F63" s="81">
        <f t="shared" si="0"/>
        <v>0</v>
      </c>
      <c r="G63" s="20"/>
      <c r="H63" s="81">
        <f>+'1.Balances Generales'!F63-'1.Balances Generales'!E63</f>
        <v>-424704479</v>
      </c>
      <c r="I63" s="81">
        <f t="shared" si="1"/>
        <v>424704479</v>
      </c>
      <c r="J63" s="20" t="s">
        <v>30</v>
      </c>
    </row>
    <row r="64" spans="1:10" x14ac:dyDescent="0.2">
      <c r="A64" s="17"/>
      <c r="B64" s="81"/>
      <c r="C64" s="81"/>
      <c r="D64" s="20"/>
      <c r="E64" s="81"/>
      <c r="F64" s="81"/>
      <c r="G64" s="20"/>
      <c r="H64" s="81">
        <f>+'1.Balances Generales'!F64-'1.Balances Generales'!E64</f>
        <v>0</v>
      </c>
      <c r="I64" s="81">
        <f t="shared" si="1"/>
        <v>0</v>
      </c>
      <c r="J64" s="2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4"/>
  <sheetViews>
    <sheetView showGridLines="0" zoomScale="95" zoomScaleNormal="95" workbookViewId="0">
      <pane xSplit="1" ySplit="4" topLeftCell="B14" activePane="bottomRight" state="frozen"/>
      <selection activeCell="B21" sqref="B21"/>
      <selection pane="topRight" activeCell="B21" sqref="B21"/>
      <selection pane="bottomLeft" activeCell="B21" sqref="B21"/>
      <selection pane="bottomRight" activeCell="G65" sqref="G65"/>
    </sheetView>
  </sheetViews>
  <sheetFormatPr baseColWidth="10" defaultRowHeight="14.25" x14ac:dyDescent="0.2"/>
  <cols>
    <col min="1" max="1" width="33" style="3" customWidth="1"/>
    <col min="2" max="2" width="18" style="38" customWidth="1"/>
    <col min="3" max="3" width="19.28515625" style="55" customWidth="1"/>
    <col min="4" max="4" width="17.42578125" style="38" bestFit="1" customWidth="1"/>
    <col min="5" max="5" width="11.85546875" style="56" customWidth="1"/>
    <col min="6" max="6" width="15.140625" style="56" bestFit="1" customWidth="1"/>
    <col min="7" max="7" width="11.28515625" style="56" customWidth="1"/>
    <col min="8" max="8" width="14.85546875" style="3" customWidth="1"/>
    <col min="9" max="16384" width="11.42578125" style="3"/>
  </cols>
  <sheetData>
    <row r="1" spans="1:14" ht="56.25" customHeight="1" x14ac:dyDescent="0.25">
      <c r="A1" s="164" t="s">
        <v>121</v>
      </c>
      <c r="B1" s="165"/>
      <c r="C1" s="165"/>
      <c r="D1" s="165"/>
      <c r="E1" s="165"/>
      <c r="F1" s="165"/>
      <c r="G1" s="165"/>
      <c r="H1" s="165"/>
    </row>
    <row r="3" spans="1:14" ht="15" x14ac:dyDescent="0.2">
      <c r="A3" s="27"/>
      <c r="B3" s="30"/>
      <c r="C3" s="44"/>
      <c r="D3" s="30"/>
      <c r="E3" s="168" t="s">
        <v>65</v>
      </c>
      <c r="F3" s="169"/>
      <c r="G3" s="169"/>
      <c r="H3" s="170"/>
      <c r="I3" s="171" t="s">
        <v>66</v>
      </c>
      <c r="J3" s="172"/>
      <c r="K3" s="172"/>
      <c r="L3" s="172"/>
      <c r="M3" s="173"/>
      <c r="N3" s="39"/>
    </row>
    <row r="4" spans="1:14" s="41" customFormat="1" ht="15" x14ac:dyDescent="0.25">
      <c r="A4" s="47"/>
      <c r="B4" s="26" t="s">
        <v>55</v>
      </c>
      <c r="C4" s="106" t="s">
        <v>56</v>
      </c>
      <c r="D4" s="26" t="s">
        <v>57</v>
      </c>
      <c r="E4" s="107" t="s">
        <v>63</v>
      </c>
      <c r="F4" s="107" t="s">
        <v>46</v>
      </c>
      <c r="G4" s="107" t="s">
        <v>64</v>
      </c>
      <c r="H4" s="108" t="s">
        <v>46</v>
      </c>
      <c r="I4" s="112">
        <v>2017</v>
      </c>
      <c r="J4" s="112" t="s">
        <v>46</v>
      </c>
      <c r="K4" s="112">
        <v>2018</v>
      </c>
      <c r="L4" s="112" t="s">
        <v>46</v>
      </c>
      <c r="M4" s="112">
        <v>2019</v>
      </c>
      <c r="N4" s="40"/>
    </row>
    <row r="5" spans="1:14" x14ac:dyDescent="0.2">
      <c r="A5" s="42"/>
      <c r="B5" s="43"/>
      <c r="C5" s="44"/>
      <c r="D5" s="30"/>
      <c r="E5" s="45"/>
      <c r="F5" s="45"/>
      <c r="G5" s="45"/>
      <c r="H5" s="27"/>
      <c r="I5" s="27"/>
      <c r="J5" s="27"/>
      <c r="K5" s="27"/>
      <c r="L5" s="27"/>
      <c r="M5" s="27"/>
    </row>
    <row r="6" spans="1:14" x14ac:dyDescent="0.2">
      <c r="A6" s="8" t="s">
        <v>0</v>
      </c>
      <c r="B6" s="30"/>
      <c r="C6" s="44"/>
      <c r="D6" s="30"/>
      <c r="E6" s="45"/>
      <c r="F6" s="45"/>
      <c r="G6" s="45"/>
      <c r="H6" s="27"/>
      <c r="I6" s="27"/>
      <c r="J6" s="27"/>
      <c r="K6" s="27"/>
      <c r="L6" s="27"/>
      <c r="M6" s="27"/>
    </row>
    <row r="7" spans="1:14" x14ac:dyDescent="0.2">
      <c r="A7" s="9"/>
      <c r="B7" s="30"/>
      <c r="C7" s="44"/>
      <c r="D7" s="30"/>
      <c r="E7" s="45"/>
      <c r="F7" s="45"/>
      <c r="G7" s="45"/>
      <c r="H7" s="27"/>
      <c r="I7" s="27"/>
      <c r="J7" s="27"/>
      <c r="K7" s="27"/>
      <c r="L7" s="27"/>
      <c r="M7" s="27"/>
    </row>
    <row r="8" spans="1:14" x14ac:dyDescent="0.2">
      <c r="A8" s="11" t="s">
        <v>1</v>
      </c>
      <c r="B8" s="29"/>
      <c r="C8" s="44"/>
      <c r="D8" s="30"/>
      <c r="E8" s="45"/>
      <c r="F8" s="46"/>
      <c r="G8" s="45"/>
      <c r="H8" s="30"/>
      <c r="I8" s="32"/>
      <c r="J8" s="32"/>
      <c r="K8" s="32"/>
      <c r="L8" s="32"/>
      <c r="M8" s="32"/>
    </row>
    <row r="9" spans="1:14" x14ac:dyDescent="0.2">
      <c r="A9" s="12" t="str">
        <f>+[1]ESF2015!$A$9</f>
        <v>Efectivo y equivalente a efectivo</v>
      </c>
      <c r="B9" s="15">
        <f>+'[1]ESF2018-2017 (3)'!$E$10</f>
        <v>75898259</v>
      </c>
      <c r="C9" s="14">
        <f>+'[1]ESF2018-2017 (3)'!$C$10</f>
        <v>341735089</v>
      </c>
      <c r="D9" s="15">
        <f>+'[2]ESF2019-2018 (4)'!$C$10</f>
        <v>287110301</v>
      </c>
      <c r="E9" s="45">
        <f t="shared" ref="E9" si="0">(C9-B9)/B9</f>
        <v>3.502541869899809</v>
      </c>
      <c r="F9" s="46">
        <f t="shared" ref="F9" si="1">C9-B9</f>
        <v>265836830</v>
      </c>
      <c r="G9" s="45">
        <f>(D9-C9)/C9</f>
        <v>-0.15984541757138671</v>
      </c>
      <c r="H9" s="30">
        <f t="shared" ref="H9" si="2">D9-C9</f>
        <v>-54624788</v>
      </c>
      <c r="I9" s="32">
        <f>+B9/$B$29</f>
        <v>5.9281593700787503E-3</v>
      </c>
      <c r="J9" s="32">
        <f t="shared" ref="J9" si="3">K9-I9</f>
        <v>2.0786345788787325E-2</v>
      </c>
      <c r="K9" s="32">
        <f>+C9/$C$29</f>
        <v>2.6714505158866076E-2</v>
      </c>
      <c r="L9" s="32">
        <f t="shared" ref="L9" si="4">M9-K9</f>
        <v>-5.1508803657787476E-3</v>
      </c>
      <c r="M9" s="32">
        <f>+D9/$D$29</f>
        <v>2.1563624793087328E-2</v>
      </c>
    </row>
    <row r="10" spans="1:14" x14ac:dyDescent="0.2">
      <c r="A10" s="5" t="str">
        <f>+[1]ESF2015!$A$10</f>
        <v>Caja General</v>
      </c>
      <c r="B10" s="6">
        <f>+'[1]ESF2018-2017 (3)'!$E$11</f>
        <v>72598139</v>
      </c>
      <c r="C10" s="7">
        <f>+'[1]ESF2018-2017 (3)'!$C$11</f>
        <v>341414036</v>
      </c>
      <c r="D10" s="6">
        <f>+'[2]ESF2019-2018 (4)'!$C$11</f>
        <v>190749261</v>
      </c>
      <c r="E10" s="45">
        <f t="shared" ref="E10:E67" si="5">(C10-B10)/B10</f>
        <v>3.7027932217380943</v>
      </c>
      <c r="F10" s="46">
        <f t="shared" ref="F10:F67" si="6">C10-B10</f>
        <v>268815897</v>
      </c>
      <c r="G10" s="45">
        <f t="shared" ref="G10:G67" si="7">(D10-C10)/C10</f>
        <v>-0.44129637072097411</v>
      </c>
      <c r="H10" s="30">
        <f t="shared" ref="H10:H67" si="8">D10-C10</f>
        <v>-150664775</v>
      </c>
      <c r="I10" s="32">
        <f t="shared" ref="I10:I29" si="9">+B10/$B$29</f>
        <v>5.6703980253767026E-3</v>
      </c>
      <c r="J10" s="32">
        <f t="shared" ref="J10:J67" si="10">K10-I10</f>
        <v>2.1019009412181718E-2</v>
      </c>
      <c r="K10" s="32">
        <f t="shared" ref="K10:K29" si="11">+C10/$C$29</f>
        <v>2.6689407437558418E-2</v>
      </c>
      <c r="L10" s="32">
        <f t="shared" ref="L10:L67" si="12">M10-K10</f>
        <v>-1.2363047570161373E-2</v>
      </c>
      <c r="M10" s="32">
        <f t="shared" ref="M10:M20" si="13">+D10/$D$29</f>
        <v>1.4326359867397045E-2</v>
      </c>
    </row>
    <row r="11" spans="1:14" x14ac:dyDescent="0.2">
      <c r="A11" s="5" t="str">
        <f>+[1]ESF2015!$A$11</f>
        <v>Bancos</v>
      </c>
      <c r="B11" s="6">
        <f>+'[1]ESF2018-2017 (3)'!$E$12</f>
        <v>3300120</v>
      </c>
      <c r="C11" s="7">
        <f>+'[1]ESF2018-2017 (3)'!$C$12</f>
        <v>321053</v>
      </c>
      <c r="D11" s="6">
        <f>+'[2]ESF2019-2018 (4)'!$C$12</f>
        <v>96361040</v>
      </c>
      <c r="E11" s="45">
        <f t="shared" si="5"/>
        <v>-0.90271474976667521</v>
      </c>
      <c r="F11" s="46">
        <f t="shared" si="6"/>
        <v>-2979067</v>
      </c>
      <c r="G11" s="45">
        <f t="shared" si="7"/>
        <v>299.14059983865593</v>
      </c>
      <c r="H11" s="30">
        <f t="shared" si="8"/>
        <v>96039987</v>
      </c>
      <c r="I11" s="32">
        <f t="shared" si="9"/>
        <v>2.5776134470204757E-4</v>
      </c>
      <c r="J11" s="32">
        <f t="shared" si="10"/>
        <v>-2.3266362339439037E-4</v>
      </c>
      <c r="K11" s="32">
        <f t="shared" si="11"/>
        <v>2.5097721307657199E-5</v>
      </c>
      <c r="L11" s="32">
        <f t="shared" si="12"/>
        <v>7.2121672043826265E-3</v>
      </c>
      <c r="M11" s="32">
        <f t="shared" si="13"/>
        <v>7.2372649256902833E-3</v>
      </c>
    </row>
    <row r="12" spans="1:14" x14ac:dyDescent="0.2">
      <c r="A12" s="12" t="str">
        <f>+[1]ESF2015!$A$12</f>
        <v>Cuentas Comerciales por Cobrar</v>
      </c>
      <c r="B12" s="15">
        <f>+'[1]ESF2018-2017 (3)'!$E$13</f>
        <v>1873709</v>
      </c>
      <c r="C12" s="14">
        <f>+'[1]ESF2018-2017 (3)'!$C$13</f>
        <v>33194509</v>
      </c>
      <c r="D12" s="15">
        <f>+'[2]ESF2019-2018 (4)'!$C$13</f>
        <v>3779109</v>
      </c>
      <c r="E12" s="45">
        <f t="shared" si="5"/>
        <v>16.71593614590099</v>
      </c>
      <c r="F12" s="46">
        <f t="shared" si="6"/>
        <v>31320800</v>
      </c>
      <c r="G12" s="45">
        <f t="shared" si="7"/>
        <v>-0.88615258626057702</v>
      </c>
      <c r="H12" s="30">
        <f t="shared" si="8"/>
        <v>-29415400</v>
      </c>
      <c r="I12" s="32">
        <f t="shared" si="9"/>
        <v>1.4634914834016E-4</v>
      </c>
      <c r="J12" s="32">
        <f t="shared" si="10"/>
        <v>2.4485698707206139E-3</v>
      </c>
      <c r="K12" s="32">
        <f t="shared" si="11"/>
        <v>2.594919019060774E-3</v>
      </c>
      <c r="L12" s="32">
        <f t="shared" si="12"/>
        <v>-2.3110863309114922E-3</v>
      </c>
      <c r="M12" s="32">
        <f t="shared" si="13"/>
        <v>2.8383268814928189E-4</v>
      </c>
    </row>
    <row r="13" spans="1:14" x14ac:dyDescent="0.2">
      <c r="A13" s="5" t="str">
        <f>+'[1]ESF2018-2017 (3)'!$A$14</f>
        <v>Clientes</v>
      </c>
      <c r="B13" s="6"/>
      <c r="C13" s="7">
        <f>+'[1]ESF2018-2017 (3)'!$C$14</f>
        <v>31320800</v>
      </c>
      <c r="D13" s="6">
        <f>+'[2]ESF2019-2018 (4)'!$C$14</f>
        <v>0</v>
      </c>
      <c r="E13" s="45"/>
      <c r="F13" s="46">
        <f t="shared" si="6"/>
        <v>31320800</v>
      </c>
      <c r="G13" s="45">
        <f t="shared" si="7"/>
        <v>-1</v>
      </c>
      <c r="H13" s="30">
        <f t="shared" si="8"/>
        <v>-31320800</v>
      </c>
      <c r="I13" s="32">
        <f t="shared" si="9"/>
        <v>0</v>
      </c>
      <c r="J13" s="32">
        <f t="shared" si="10"/>
        <v>2.4484453019684277E-3</v>
      </c>
      <c r="K13" s="32">
        <f t="shared" si="11"/>
        <v>2.4484453019684277E-3</v>
      </c>
      <c r="L13" s="32">
        <f t="shared" si="12"/>
        <v>-2.4484453019684277E-3</v>
      </c>
      <c r="M13" s="32">
        <f t="shared" si="13"/>
        <v>0</v>
      </c>
    </row>
    <row r="14" spans="1:14" x14ac:dyDescent="0.2">
      <c r="A14" s="5" t="str">
        <f>+[1]ESF2015!$A$13</f>
        <v>Otros Activos</v>
      </c>
      <c r="B14" s="6">
        <f>+'[1]ESF2018-2017 (3)'!$E$15</f>
        <v>1873709</v>
      </c>
      <c r="C14" s="7">
        <f>+'[1]ESF2018-2017 (3)'!$C$15</f>
        <v>1873709</v>
      </c>
      <c r="D14" s="6">
        <f>+'[2]ESF2019-2018 (4)'!$C$15</f>
        <v>3779109</v>
      </c>
      <c r="E14" s="45">
        <f t="shared" si="5"/>
        <v>0</v>
      </c>
      <c r="F14" s="46">
        <f t="shared" si="6"/>
        <v>0</v>
      </c>
      <c r="G14" s="45">
        <f t="shared" si="7"/>
        <v>1.0169135121835888</v>
      </c>
      <c r="H14" s="30">
        <f t="shared" si="8"/>
        <v>1905400</v>
      </c>
      <c r="I14" s="32">
        <f t="shared" si="9"/>
        <v>1.4634914834016E-4</v>
      </c>
      <c r="J14" s="32">
        <f t="shared" si="10"/>
        <v>1.2456875218632584E-7</v>
      </c>
      <c r="K14" s="32">
        <f t="shared" si="11"/>
        <v>1.4647371709234632E-4</v>
      </c>
      <c r="L14" s="32">
        <f t="shared" si="12"/>
        <v>1.3735897105693557E-4</v>
      </c>
      <c r="M14" s="32">
        <f t="shared" si="13"/>
        <v>2.8383268814928189E-4</v>
      </c>
    </row>
    <row r="15" spans="1:14" s="35" customFormat="1" ht="15" x14ac:dyDescent="0.25">
      <c r="A15" s="12" t="str">
        <f>+'[1]ESF2016-2015'!$A$15</f>
        <v>Activo por Impuestos Corrientes</v>
      </c>
      <c r="B15" s="15">
        <f>+'[1]ESF2018-2017 (3)'!$E$16</f>
        <v>2947888</v>
      </c>
      <c r="C15" s="14">
        <f>+'[1]ESF2018-2017 (3)'!$C$16</f>
        <v>6864342</v>
      </c>
      <c r="D15" s="15">
        <f>+'[2]ESF2019-2018 (4)'!$C$16</f>
        <v>7583836</v>
      </c>
      <c r="E15" s="45">
        <f t="shared" si="5"/>
        <v>1.3285626862350266</v>
      </c>
      <c r="F15" s="46">
        <f t="shared" si="6"/>
        <v>3916454</v>
      </c>
      <c r="G15" s="45">
        <f t="shared" si="7"/>
        <v>0.10481616446266809</v>
      </c>
      <c r="H15" s="30">
        <f t="shared" si="8"/>
        <v>719494</v>
      </c>
      <c r="I15" s="32">
        <f t="shared" si="9"/>
        <v>2.3024968028769548E-4</v>
      </c>
      <c r="J15" s="32">
        <f t="shared" si="10"/>
        <v>3.063574919749722E-4</v>
      </c>
      <c r="K15" s="32">
        <f t="shared" si="11"/>
        <v>5.3660717226266771E-4</v>
      </c>
      <c r="L15" s="32">
        <f t="shared" si="12"/>
        <v>3.2982262274229113E-5</v>
      </c>
      <c r="M15" s="32">
        <f t="shared" si="13"/>
        <v>5.6958943453689682E-4</v>
      </c>
    </row>
    <row r="16" spans="1:14" x14ac:dyDescent="0.2">
      <c r="A16" s="5" t="str">
        <f>+'[1]ESF2016-2015'!$A$16</f>
        <v>Anticipos de Impuestos y contribuciones</v>
      </c>
      <c r="B16" s="6">
        <f>+'[1]ESF2018-2017 (3)'!$E$17</f>
        <v>2947888</v>
      </c>
      <c r="C16" s="7">
        <f>+'[1]ESF2018-2017 (3)'!$C$17</f>
        <v>6864342</v>
      </c>
      <c r="D16" s="6">
        <f>+'[2]ESF2019-2018 (4)'!$C$17</f>
        <v>7583836</v>
      </c>
      <c r="E16" s="45">
        <f t="shared" si="5"/>
        <v>1.3285626862350266</v>
      </c>
      <c r="F16" s="46">
        <f t="shared" si="6"/>
        <v>3916454</v>
      </c>
      <c r="G16" s="45">
        <f t="shared" si="7"/>
        <v>0.10481616446266809</v>
      </c>
      <c r="H16" s="30">
        <f t="shared" si="8"/>
        <v>719494</v>
      </c>
      <c r="I16" s="32">
        <f t="shared" si="9"/>
        <v>2.3024968028769548E-4</v>
      </c>
      <c r="J16" s="32">
        <f t="shared" si="10"/>
        <v>3.063574919749722E-4</v>
      </c>
      <c r="K16" s="32">
        <f t="shared" si="11"/>
        <v>5.3660717226266771E-4</v>
      </c>
      <c r="L16" s="32">
        <f t="shared" si="12"/>
        <v>3.2982262274229113E-5</v>
      </c>
      <c r="M16" s="32">
        <f t="shared" si="13"/>
        <v>5.6958943453689682E-4</v>
      </c>
    </row>
    <row r="17" spans="1:13" x14ac:dyDescent="0.2">
      <c r="A17" s="12" t="str">
        <f>+'[1]ESF2016-2015'!$A$17</f>
        <v xml:space="preserve">Activo Biológicos </v>
      </c>
      <c r="B17" s="15">
        <f>+'[1]ESF2018-2017 (3)'!$E$18</f>
        <v>196149978</v>
      </c>
      <c r="C17" s="14">
        <f>+'[1]ESF2018-2017 (3)'!$C$18</f>
        <v>219164562</v>
      </c>
      <c r="D17" s="15">
        <f>+'[2]ESF2019-2018 (4)'!$C$18</f>
        <v>738758704</v>
      </c>
      <c r="E17" s="45">
        <f t="shared" si="5"/>
        <v>0.11733156554317839</v>
      </c>
      <c r="F17" s="46">
        <f t="shared" si="6"/>
        <v>23014584</v>
      </c>
      <c r="G17" s="45">
        <f t="shared" si="7"/>
        <v>2.3707945174092515</v>
      </c>
      <c r="H17" s="30">
        <f t="shared" si="8"/>
        <v>519594142</v>
      </c>
      <c r="I17" s="32">
        <f t="shared" si="9"/>
        <v>1.5320619278255653E-2</v>
      </c>
      <c r="J17" s="32">
        <f t="shared" si="10"/>
        <v>1.8121628405557508E-3</v>
      </c>
      <c r="K17" s="32">
        <f t="shared" si="11"/>
        <v>1.7132782118811404E-2</v>
      </c>
      <c r="L17" s="32">
        <f t="shared" si="12"/>
        <v>3.8352219464895143E-2</v>
      </c>
      <c r="M17" s="32">
        <f t="shared" si="13"/>
        <v>5.5485001583706547E-2</v>
      </c>
    </row>
    <row r="18" spans="1:13" x14ac:dyDescent="0.2">
      <c r="A18" s="5" t="str">
        <f>+'[1]ESF2016-2015'!$A$18</f>
        <v>Cultivos en Desarrollo</v>
      </c>
      <c r="B18" s="6">
        <f>+'[1]ESF2018-2017 (3)'!$E$19</f>
        <v>196149978</v>
      </c>
      <c r="C18" s="7">
        <f>+'[1]ESF2018-2017 (3)'!$C$19</f>
        <v>219164562</v>
      </c>
      <c r="D18" s="6">
        <f>+'[2]ESF2019-2018 (4)'!$C$19</f>
        <v>188472204</v>
      </c>
      <c r="E18" s="45">
        <f t="shared" si="5"/>
        <v>0.11733156554317839</v>
      </c>
      <c r="F18" s="46">
        <f t="shared" si="6"/>
        <v>23014584</v>
      </c>
      <c r="G18" s="45">
        <f t="shared" si="7"/>
        <v>-0.14004252202050804</v>
      </c>
      <c r="H18" s="30">
        <f t="shared" si="8"/>
        <v>-30692358</v>
      </c>
      <c r="I18" s="32">
        <f t="shared" si="9"/>
        <v>1.5320619278255653E-2</v>
      </c>
      <c r="J18" s="32">
        <f t="shared" si="10"/>
        <v>1.8121628405557508E-3</v>
      </c>
      <c r="K18" s="32">
        <f t="shared" si="11"/>
        <v>1.7132782118811404E-2</v>
      </c>
      <c r="L18" s="32">
        <f t="shared" si="12"/>
        <v>-2.9774422482917017E-3</v>
      </c>
      <c r="M18" s="32">
        <f t="shared" si="13"/>
        <v>1.4155339870519703E-2</v>
      </c>
    </row>
    <row r="19" spans="1:13" x14ac:dyDescent="0.2">
      <c r="A19" s="5" t="str">
        <f>+'[2]ESF2019-2018 (4)'!$A$20</f>
        <v>Semovientes</v>
      </c>
      <c r="B19" s="6"/>
      <c r="C19" s="6"/>
      <c r="D19" s="6">
        <f>+'[2]ESF2019-2018 (4)'!$C$20</f>
        <v>550286500</v>
      </c>
      <c r="E19" s="45"/>
      <c r="F19" s="46">
        <f t="shared" si="6"/>
        <v>0</v>
      </c>
      <c r="G19" s="45"/>
      <c r="H19" s="30">
        <f t="shared" si="8"/>
        <v>550286500</v>
      </c>
      <c r="I19" s="32">
        <f t="shared" si="9"/>
        <v>0</v>
      </c>
      <c r="J19" s="32">
        <f t="shared" si="10"/>
        <v>0</v>
      </c>
      <c r="K19" s="32">
        <f t="shared" si="11"/>
        <v>0</v>
      </c>
      <c r="L19" s="32">
        <f t="shared" si="12"/>
        <v>4.1329661713186847E-2</v>
      </c>
      <c r="M19" s="32">
        <f t="shared" si="13"/>
        <v>4.1329661713186847E-2</v>
      </c>
    </row>
    <row r="20" spans="1:13" x14ac:dyDescent="0.2">
      <c r="A20" s="12" t="str">
        <f>+[1]ESF2015!$A$14</f>
        <v>Total del Activo Corriente</v>
      </c>
      <c r="B20" s="15">
        <f>+'[1]ESF2018-2017 (3)'!$E$20</f>
        <v>276869834</v>
      </c>
      <c r="C20" s="14">
        <f>+'[1]ESF2018-2017 (3)'!$C$20</f>
        <v>600958502</v>
      </c>
      <c r="D20" s="15">
        <f>+'[2]ESF2019-2018 (4)'!$C$21</f>
        <v>1037231950</v>
      </c>
      <c r="E20" s="45">
        <f t="shared" si="5"/>
        <v>1.1705452461823631</v>
      </c>
      <c r="F20" s="46">
        <f t="shared" si="6"/>
        <v>324088668</v>
      </c>
      <c r="G20" s="45">
        <f t="shared" si="7"/>
        <v>0.72596268552333421</v>
      </c>
      <c r="H20" s="30">
        <f t="shared" si="8"/>
        <v>436273448</v>
      </c>
      <c r="I20" s="32">
        <f t="shared" si="9"/>
        <v>2.1625377476962259E-2</v>
      </c>
      <c r="J20" s="32">
        <f t="shared" si="10"/>
        <v>2.5353435992038664E-2</v>
      </c>
      <c r="K20" s="32">
        <f t="shared" si="11"/>
        <v>4.6978813469000923E-2</v>
      </c>
      <c r="L20" s="32">
        <f t="shared" si="12"/>
        <v>3.0923235030479133E-2</v>
      </c>
      <c r="M20" s="32">
        <f t="shared" si="13"/>
        <v>7.7902048499480056E-2</v>
      </c>
    </row>
    <row r="21" spans="1:13" x14ac:dyDescent="0.2">
      <c r="A21" s="5"/>
      <c r="B21" s="6"/>
      <c r="C21" s="6"/>
      <c r="D21" s="6"/>
      <c r="E21" s="45"/>
      <c r="F21" s="46"/>
      <c r="G21" s="45"/>
      <c r="H21" s="30"/>
      <c r="I21" s="32"/>
      <c r="J21" s="32"/>
      <c r="K21" s="32"/>
      <c r="L21" s="32"/>
      <c r="M21" s="32"/>
    </row>
    <row r="22" spans="1:13" x14ac:dyDescent="0.2">
      <c r="A22" s="11" t="s">
        <v>2</v>
      </c>
      <c r="B22" s="6"/>
      <c r="C22" s="7"/>
      <c r="D22" s="6"/>
      <c r="E22" s="45"/>
      <c r="F22" s="46">
        <f t="shared" si="6"/>
        <v>0</v>
      </c>
      <c r="G22" s="45"/>
      <c r="H22" s="30"/>
      <c r="I22" s="32"/>
      <c r="J22" s="32"/>
      <c r="K22" s="32"/>
      <c r="L22" s="32"/>
      <c r="M22" s="32"/>
    </row>
    <row r="23" spans="1:13" x14ac:dyDescent="0.2">
      <c r="A23" s="12" t="str">
        <f>+[1]ESF2015!$A$23</f>
        <v>Propiedades,planta y equipos</v>
      </c>
      <c r="B23" s="15">
        <f>+'[1]ESF2018-2017 (3)'!$E$25</f>
        <v>12526136000</v>
      </c>
      <c r="C23" s="14">
        <f>+'[1]ESF2018-2017 (3)'!$C$25</f>
        <v>12191159000</v>
      </c>
      <c r="D23" s="15">
        <f>+'[2]ESF2019-2018 (4)'!$C$30</f>
        <v>12277333841</v>
      </c>
      <c r="E23" s="45">
        <f t="shared" si="5"/>
        <v>-2.6742245174409731E-2</v>
      </c>
      <c r="F23" s="46">
        <f t="shared" si="6"/>
        <v>-334977000</v>
      </c>
      <c r="G23" s="45">
        <f t="shared" si="7"/>
        <v>7.0686339994417268E-3</v>
      </c>
      <c r="H23" s="30">
        <f t="shared" si="8"/>
        <v>86174841</v>
      </c>
      <c r="I23" s="32">
        <f t="shared" si="9"/>
        <v>0.97837462252303775</v>
      </c>
      <c r="J23" s="32">
        <f t="shared" si="10"/>
        <v>-2.5353435992038653E-2</v>
      </c>
      <c r="K23" s="32">
        <f t="shared" si="11"/>
        <v>0.9530211865309991</v>
      </c>
      <c r="L23" s="32">
        <f t="shared" si="12"/>
        <v>-3.0923235030479113E-2</v>
      </c>
      <c r="M23" s="32">
        <f t="shared" ref="M23:M29" si="14">+D23/$D$29</f>
        <v>0.92209795150051999</v>
      </c>
    </row>
    <row r="24" spans="1:13" x14ac:dyDescent="0.2">
      <c r="A24" s="5" t="str">
        <f>+[1]ESF2015!$A$24</f>
        <v>Terrenos</v>
      </c>
      <c r="B24" s="6">
        <f>+'[1]ESF2018-2017 (3)'!$E$26</f>
        <v>12472537000</v>
      </c>
      <c r="C24" s="7">
        <f>+'[1]ESF2018-2017 (3)'!$C$26</f>
        <v>12137560000</v>
      </c>
      <c r="D24" s="6">
        <f>+'[2]ESF2019-2018 (4)'!$C$31</f>
        <v>12223734841</v>
      </c>
      <c r="E24" s="45">
        <f t="shared" si="5"/>
        <v>-2.6857166268578717E-2</v>
      </c>
      <c r="F24" s="46">
        <f t="shared" si="6"/>
        <v>-334977000</v>
      </c>
      <c r="G24" s="45">
        <f t="shared" si="7"/>
        <v>7.0998488164013196E-3</v>
      </c>
      <c r="H24" s="30">
        <f t="shared" si="8"/>
        <v>86174841</v>
      </c>
      <c r="I24" s="32">
        <f t="shared" si="9"/>
        <v>0.97418818375272487</v>
      </c>
      <c r="J24" s="32">
        <f t="shared" si="10"/>
        <v>-2.5356999384512413E-2</v>
      </c>
      <c r="K24" s="32">
        <f t="shared" si="11"/>
        <v>0.94883118436821245</v>
      </c>
      <c r="L24" s="32">
        <f t="shared" si="12"/>
        <v>-3.0758824151805642E-2</v>
      </c>
      <c r="M24" s="32">
        <f t="shared" si="14"/>
        <v>0.91807236021640681</v>
      </c>
    </row>
    <row r="25" spans="1:13" s="35" customFormat="1" ht="15" x14ac:dyDescent="0.25">
      <c r="A25" s="5" t="str">
        <f>+[1]ESF2015!$A$25</f>
        <v>Flota y Equipo de Transporte</v>
      </c>
      <c r="B25" s="6">
        <f>+'[1]ESF2018-2017 (3)'!$E$27</f>
        <v>52000000</v>
      </c>
      <c r="C25" s="7">
        <f>+'[1]ESF2018-2017 (3)'!$C$27</f>
        <v>52000000</v>
      </c>
      <c r="D25" s="6">
        <f>+'[2]ESF2019-2018 (4)'!$C$32</f>
        <v>52000000</v>
      </c>
      <c r="E25" s="45">
        <f t="shared" si="5"/>
        <v>0</v>
      </c>
      <c r="F25" s="46">
        <f t="shared" si="6"/>
        <v>0</v>
      </c>
      <c r="G25" s="45">
        <f t="shared" si="7"/>
        <v>0</v>
      </c>
      <c r="H25" s="30">
        <f t="shared" si="8"/>
        <v>0</v>
      </c>
      <c r="I25" s="32">
        <f t="shared" si="9"/>
        <v>4.0615462239271521E-3</v>
      </c>
      <c r="J25" s="32">
        <f t="shared" si="10"/>
        <v>3.4570870469687043E-6</v>
      </c>
      <c r="K25" s="32">
        <f t="shared" si="11"/>
        <v>4.0650033109741208E-3</v>
      </c>
      <c r="L25" s="32">
        <f t="shared" si="12"/>
        <v>-1.5950606710985046E-4</v>
      </c>
      <c r="M25" s="32">
        <f t="shared" si="14"/>
        <v>3.9054972438642703E-3</v>
      </c>
    </row>
    <row r="26" spans="1:13" x14ac:dyDescent="0.2">
      <c r="A26" s="5" t="str">
        <f>+'[1]ESF2018-2017 (3)'!$A$28</f>
        <v>Equipo de Computacion y Comunicación</v>
      </c>
      <c r="B26" s="6">
        <f>+'[1]ESF2018-2017 (3)'!$E$28</f>
        <v>1599000</v>
      </c>
      <c r="C26" s="7">
        <f>+'[1]ESF2018-2017 (3)'!$C$28</f>
        <v>1599000</v>
      </c>
      <c r="D26" s="6">
        <f>+'[2]ESF2019-2018 (4)'!$C$33</f>
        <v>1599000</v>
      </c>
      <c r="E26" s="45">
        <f t="shared" si="5"/>
        <v>0</v>
      </c>
      <c r="F26" s="46">
        <f t="shared" si="6"/>
        <v>0</v>
      </c>
      <c r="G26" s="45">
        <f t="shared" si="7"/>
        <v>0</v>
      </c>
      <c r="H26" s="30">
        <f t="shared" si="8"/>
        <v>0</v>
      </c>
      <c r="I26" s="32">
        <f t="shared" si="9"/>
        <v>1.2489254638575994E-4</v>
      </c>
      <c r="J26" s="32">
        <f t="shared" si="10"/>
        <v>1.0630542669428679E-7</v>
      </c>
      <c r="K26" s="32">
        <f t="shared" si="11"/>
        <v>1.2499885181245423E-4</v>
      </c>
      <c r="L26" s="32">
        <f t="shared" si="12"/>
        <v>-4.9048115636279112E-6</v>
      </c>
      <c r="M26" s="32">
        <f t="shared" si="14"/>
        <v>1.2009404024882632E-4</v>
      </c>
    </row>
    <row r="27" spans="1:13" x14ac:dyDescent="0.2">
      <c r="A27" s="12" t="str">
        <f>+[1]ESF2015!$A$26</f>
        <v>Total Activos no corriente</v>
      </c>
      <c r="B27" s="15">
        <f>+'[1]ESF2018-2017 (3)'!$E$29</f>
        <v>12526136000</v>
      </c>
      <c r="C27" s="14">
        <f>+'[1]ESF2018-2017 (3)'!$C$29</f>
        <v>12191159000</v>
      </c>
      <c r="D27" s="15">
        <f>+'[2]ESF2019-2018 (4)'!$C$34</f>
        <v>12277333841</v>
      </c>
      <c r="E27" s="45">
        <f t="shared" si="5"/>
        <v>-2.6742245174409731E-2</v>
      </c>
      <c r="F27" s="46">
        <f t="shared" si="6"/>
        <v>-334977000</v>
      </c>
      <c r="G27" s="45">
        <f t="shared" si="7"/>
        <v>7.0686339994417268E-3</v>
      </c>
      <c r="H27" s="30">
        <f t="shared" si="8"/>
        <v>86174841</v>
      </c>
      <c r="I27" s="32">
        <f t="shared" si="9"/>
        <v>0.97837462252303775</v>
      </c>
      <c r="J27" s="32">
        <f t="shared" si="10"/>
        <v>-2.5353435992038653E-2</v>
      </c>
      <c r="K27" s="32">
        <f t="shared" si="11"/>
        <v>0.9530211865309991</v>
      </c>
      <c r="L27" s="32">
        <f t="shared" si="12"/>
        <v>-3.0923235030479113E-2</v>
      </c>
      <c r="M27" s="32">
        <f t="shared" si="14"/>
        <v>0.92209795150051999</v>
      </c>
    </row>
    <row r="28" spans="1:13" x14ac:dyDescent="0.2">
      <c r="A28" s="5"/>
      <c r="B28" s="6"/>
      <c r="C28" s="6"/>
      <c r="D28" s="6"/>
      <c r="E28" s="45"/>
      <c r="F28" s="46"/>
      <c r="G28" s="45"/>
      <c r="H28" s="30"/>
      <c r="I28" s="32"/>
      <c r="J28" s="32"/>
      <c r="K28" s="32"/>
      <c r="L28" s="32"/>
      <c r="M28" s="32"/>
    </row>
    <row r="29" spans="1:13" x14ac:dyDescent="0.2">
      <c r="A29" s="70" t="s">
        <v>3</v>
      </c>
      <c r="B29" s="71">
        <f>+'[1]ESF2018-2017 (3)'!$E$43</f>
        <v>12803005834</v>
      </c>
      <c r="C29" s="71">
        <f>+'[1]ESF2018-2017 (3)'!$C$43</f>
        <v>12792117502</v>
      </c>
      <c r="D29" s="71">
        <f>+'[2]ESF2019-2018 (4)'!$C$48</f>
        <v>13314565791</v>
      </c>
      <c r="E29" s="45">
        <f t="shared" si="5"/>
        <v>-8.5045122537433032E-4</v>
      </c>
      <c r="F29" s="46">
        <f t="shared" si="6"/>
        <v>-10888332</v>
      </c>
      <c r="G29" s="45">
        <f t="shared" si="7"/>
        <v>4.0841423549957005E-2</v>
      </c>
      <c r="H29" s="30">
        <f t="shared" si="8"/>
        <v>522448289</v>
      </c>
      <c r="I29" s="32">
        <f t="shared" si="9"/>
        <v>1</v>
      </c>
      <c r="J29" s="32">
        <f t="shared" si="10"/>
        <v>0</v>
      </c>
      <c r="K29" s="32">
        <f t="shared" si="11"/>
        <v>1</v>
      </c>
      <c r="L29" s="32">
        <f t="shared" si="12"/>
        <v>0</v>
      </c>
      <c r="M29" s="32">
        <f t="shared" si="14"/>
        <v>1</v>
      </c>
    </row>
    <row r="30" spans="1:13" x14ac:dyDescent="0.2">
      <c r="A30" s="5"/>
      <c r="B30" s="6"/>
      <c r="C30" s="7"/>
      <c r="D30" s="6"/>
      <c r="E30" s="45"/>
      <c r="F30" s="46"/>
      <c r="G30" s="45"/>
      <c r="H30" s="30"/>
      <c r="I30" s="32"/>
      <c r="J30" s="32"/>
      <c r="K30" s="32"/>
      <c r="L30" s="32"/>
      <c r="M30" s="32"/>
    </row>
    <row r="31" spans="1:13" x14ac:dyDescent="0.2">
      <c r="A31" s="8" t="s">
        <v>4</v>
      </c>
      <c r="B31" s="6"/>
      <c r="C31" s="7"/>
      <c r="D31" s="6"/>
      <c r="E31" s="45"/>
      <c r="F31" s="46"/>
      <c r="G31" s="45"/>
      <c r="H31" s="30"/>
      <c r="I31" s="32"/>
      <c r="J31" s="32"/>
      <c r="K31" s="32"/>
      <c r="L31" s="32"/>
      <c r="M31" s="32"/>
    </row>
    <row r="32" spans="1:13" s="35" customFormat="1" ht="15" x14ac:dyDescent="0.25">
      <c r="A32" s="8"/>
      <c r="B32" s="6"/>
      <c r="C32" s="7"/>
      <c r="D32" s="6"/>
      <c r="E32" s="45"/>
      <c r="F32" s="46"/>
      <c r="G32" s="45"/>
      <c r="H32" s="30"/>
      <c r="I32" s="32"/>
      <c r="J32" s="32"/>
      <c r="K32" s="32"/>
      <c r="L32" s="32"/>
      <c r="M32" s="32"/>
    </row>
    <row r="33" spans="1:13" x14ac:dyDescent="0.2">
      <c r="A33" s="11" t="s">
        <v>1</v>
      </c>
      <c r="B33" s="6"/>
      <c r="C33" s="7"/>
      <c r="D33" s="6"/>
      <c r="E33" s="45"/>
      <c r="F33" s="46"/>
      <c r="G33" s="45"/>
      <c r="H33" s="30"/>
      <c r="I33" s="32"/>
      <c r="J33" s="32"/>
      <c r="K33" s="32"/>
      <c r="L33" s="32"/>
      <c r="M33" s="32"/>
    </row>
    <row r="34" spans="1:13" x14ac:dyDescent="0.2">
      <c r="A34" s="11" t="str">
        <f>+[1]ESF2015!$E$9</f>
        <v>Cuentas comerciales por pagar y otras cuentas comerciales por pagar</v>
      </c>
      <c r="B34" s="15">
        <f>+'[1]ESF2018-2017 (3)'!$L$10</f>
        <v>341636022</v>
      </c>
      <c r="C34" s="14">
        <f>+'[1]ESF2018-2017 (3)'!$J$10</f>
        <v>1183319291</v>
      </c>
      <c r="D34" s="15">
        <f>+'[2]ESF2019-2018 (4)'!$J$10</f>
        <v>2004229593</v>
      </c>
      <c r="E34" s="45">
        <f t="shared" si="5"/>
        <v>2.4636841983835067</v>
      </c>
      <c r="F34" s="46">
        <f t="shared" si="6"/>
        <v>841683269</v>
      </c>
      <c r="G34" s="45">
        <f t="shared" si="7"/>
        <v>0.6937352481647322</v>
      </c>
      <c r="H34" s="30">
        <f t="shared" si="8"/>
        <v>820910302</v>
      </c>
      <c r="I34" s="32">
        <f>+B34/$B$67</f>
        <v>2.6684047982915259E-2</v>
      </c>
      <c r="J34" s="32">
        <f t="shared" si="10"/>
        <v>6.5819737321979932E-2</v>
      </c>
      <c r="K34" s="32">
        <f>+C34/$C$67</f>
        <v>9.2503785304895184E-2</v>
      </c>
      <c r="L34" s="32">
        <f t="shared" si="12"/>
        <v>5.8025313763041528E-2</v>
      </c>
      <c r="M34" s="32">
        <f>+D34/$D$67</f>
        <v>0.15052909906793671</v>
      </c>
    </row>
    <row r="35" spans="1:13" x14ac:dyDescent="0.2">
      <c r="A35" s="5" t="str">
        <f>+[1]ESF2015!$E$10</f>
        <v>Costos y Gastos por Pagar</v>
      </c>
      <c r="B35" s="6">
        <f>+'[1]ESF2018-2017 (3)'!$L$11</f>
        <v>11636022</v>
      </c>
      <c r="C35" s="7">
        <f>+'[1]ESF2018-2017 (3)'!$J$11</f>
        <v>16223691</v>
      </c>
      <c r="D35" s="6">
        <f>+'[2]ESF2019-2018 (4)'!$J$11</f>
        <v>357872202</v>
      </c>
      <c r="E35" s="45">
        <f t="shared" si="5"/>
        <v>0.39426438004328285</v>
      </c>
      <c r="F35" s="46">
        <f t="shared" si="6"/>
        <v>4587669</v>
      </c>
      <c r="G35" s="45">
        <f t="shared" si="7"/>
        <v>21.058617980335054</v>
      </c>
      <c r="H35" s="30">
        <f t="shared" si="8"/>
        <v>341648511</v>
      </c>
      <c r="I35" s="32">
        <f t="shared" ref="I35:I67" si="15">+B35/$B$67</f>
        <v>9.0885079260833205E-4</v>
      </c>
      <c r="J35" s="32">
        <f t="shared" si="10"/>
        <v>3.594060849151495E-4</v>
      </c>
      <c r="K35" s="32">
        <f t="shared" ref="K35:K53" si="16">+C35/$C$67</f>
        <v>1.2682568775234816E-3</v>
      </c>
      <c r="L35" s="32">
        <f t="shared" si="12"/>
        <v>2.5609991171834934E-2</v>
      </c>
      <c r="M35" s="32">
        <f t="shared" ref="M35:M47" si="17">+D35/$D$67</f>
        <v>2.6878248049358414E-2</v>
      </c>
    </row>
    <row r="36" spans="1:13" x14ac:dyDescent="0.2">
      <c r="A36" s="5" t="str">
        <f>+'[1]ESF2016-2015'!$G$12</f>
        <v>Deuda con Accionistas o Socios</v>
      </c>
      <c r="B36" s="6">
        <f>+'[1]ESF2018-2017 (3)'!$L$12</f>
        <v>130000000</v>
      </c>
      <c r="C36" s="7">
        <f>+'[1]ESF2018-2017 (3)'!$J$12</f>
        <v>130000000</v>
      </c>
      <c r="D36" s="6">
        <f>+'[2]ESF2019-2018 (4)'!$J$12</f>
        <v>363795000</v>
      </c>
      <c r="E36" s="45">
        <f t="shared" si="5"/>
        <v>0</v>
      </c>
      <c r="F36" s="46">
        <f t="shared" si="6"/>
        <v>0</v>
      </c>
      <c r="G36" s="45">
        <f t="shared" si="7"/>
        <v>1.7984230769230769</v>
      </c>
      <c r="H36" s="30">
        <f t="shared" si="8"/>
        <v>233795000</v>
      </c>
      <c r="I36" s="32">
        <f t="shared" si="15"/>
        <v>1.0153865559817881E-2</v>
      </c>
      <c r="J36" s="32">
        <f t="shared" si="10"/>
        <v>8.6427176174217607E-6</v>
      </c>
      <c r="K36" s="32">
        <f t="shared" si="16"/>
        <v>1.0162508277435303E-2</v>
      </c>
      <c r="L36" s="32">
        <f t="shared" si="12"/>
        <v>1.7160575757787816E-2</v>
      </c>
      <c r="M36" s="32">
        <f t="shared" si="17"/>
        <v>2.7323084035223121E-2</v>
      </c>
    </row>
    <row r="37" spans="1:13" x14ac:dyDescent="0.2">
      <c r="A37" s="5" t="str">
        <f>+[1]ESF2015!$E$11</f>
        <v>Dividendos o Participaciones por Pagar</v>
      </c>
      <c r="B37" s="6">
        <f>+'[1]ESF2018-2017 (3)'!$L$13</f>
        <v>200000000</v>
      </c>
      <c r="C37" s="7">
        <f>+'[1]ESF2018-2017 (3)'!$J$13</f>
        <v>200000000</v>
      </c>
      <c r="D37" s="6">
        <f>+'[2]ESF2019-2018 (4)'!$J$13</f>
        <v>200000000</v>
      </c>
      <c r="E37" s="45">
        <f t="shared" si="5"/>
        <v>0</v>
      </c>
      <c r="F37" s="46">
        <f t="shared" si="6"/>
        <v>0</v>
      </c>
      <c r="G37" s="45">
        <f t="shared" si="7"/>
        <v>0</v>
      </c>
      <c r="H37" s="30">
        <f t="shared" si="8"/>
        <v>0</v>
      </c>
      <c r="I37" s="32">
        <f t="shared" si="15"/>
        <v>1.5621331630489047E-2</v>
      </c>
      <c r="J37" s="32">
        <f t="shared" si="10"/>
        <v>1.3296488642186924E-5</v>
      </c>
      <c r="K37" s="32">
        <f t="shared" si="16"/>
        <v>1.5634628119131234E-2</v>
      </c>
      <c r="L37" s="32">
        <f t="shared" si="12"/>
        <v>-6.1348487349942478E-4</v>
      </c>
      <c r="M37" s="32">
        <f t="shared" si="17"/>
        <v>1.5021143245631809E-2</v>
      </c>
    </row>
    <row r="38" spans="1:13" x14ac:dyDescent="0.2">
      <c r="A38" s="5" t="str">
        <f>+'[2]ESF2019-2018 (4)'!$G$14</f>
        <v>Retencion en la Fuente</v>
      </c>
      <c r="B38" s="6"/>
      <c r="C38" s="7"/>
      <c r="D38" s="6">
        <f>+'[2]ESF2019-2018 (4)'!$J$14</f>
        <v>270391</v>
      </c>
      <c r="E38" s="45"/>
      <c r="F38" s="46">
        <f t="shared" si="6"/>
        <v>0</v>
      </c>
      <c r="G38" s="45"/>
      <c r="H38" s="30">
        <f t="shared" si="8"/>
        <v>270391</v>
      </c>
      <c r="I38" s="32">
        <f t="shared" si="15"/>
        <v>0</v>
      </c>
      <c r="J38" s="32">
        <f t="shared" si="10"/>
        <v>0</v>
      </c>
      <c r="K38" s="32">
        <f t="shared" si="16"/>
        <v>0</v>
      </c>
      <c r="L38" s="32">
        <f t="shared" si="12"/>
        <v>2.0307909716648153E-5</v>
      </c>
      <c r="M38" s="32">
        <f t="shared" si="17"/>
        <v>2.0307909716648153E-5</v>
      </c>
    </row>
    <row r="39" spans="1:13" x14ac:dyDescent="0.2">
      <c r="A39" s="5" t="str">
        <f>+'[2]ESF2019-2018 (4)'!$G$15</f>
        <v>Retenciones y Aportes de Nomina</v>
      </c>
      <c r="B39" s="6"/>
      <c r="C39" s="7"/>
      <c r="D39" s="6">
        <f>+'[2]ESF2019-2018 (4)'!$J$15</f>
        <v>415200</v>
      </c>
      <c r="E39" s="45"/>
      <c r="F39" s="46">
        <f t="shared" si="6"/>
        <v>0</v>
      </c>
      <c r="G39" s="45"/>
      <c r="H39" s="30">
        <f t="shared" si="8"/>
        <v>415200</v>
      </c>
      <c r="I39" s="32">
        <f t="shared" si="15"/>
        <v>0</v>
      </c>
      <c r="J39" s="32">
        <f t="shared" si="10"/>
        <v>0</v>
      </c>
      <c r="K39" s="32">
        <f t="shared" si="16"/>
        <v>0</v>
      </c>
      <c r="L39" s="32">
        <f t="shared" si="12"/>
        <v>3.1183893377931639E-5</v>
      </c>
      <c r="M39" s="32">
        <f t="shared" si="17"/>
        <v>3.1183893377931639E-5</v>
      </c>
    </row>
    <row r="40" spans="1:13" x14ac:dyDescent="0.2">
      <c r="A40" s="5" t="str">
        <f>+'[1]ESF2018-2017 (3)'!$G$14</f>
        <v>Acreedores Varios</v>
      </c>
      <c r="B40" s="6"/>
      <c r="C40" s="7">
        <f>+'[1]ESF2018-2017 (3)'!$J$14</f>
        <v>837095600</v>
      </c>
      <c r="D40" s="6">
        <f>+'[2]ESF2019-2018 (4)'!$J$16</f>
        <v>1081876800</v>
      </c>
      <c r="E40" s="45"/>
      <c r="F40" s="46">
        <f t="shared" si="6"/>
        <v>837095600</v>
      </c>
      <c r="G40" s="45">
        <f t="shared" si="7"/>
        <v>0.29241725795715567</v>
      </c>
      <c r="H40" s="30">
        <f t="shared" si="8"/>
        <v>244781200</v>
      </c>
      <c r="I40" s="32">
        <f t="shared" si="15"/>
        <v>0</v>
      </c>
      <c r="J40" s="32">
        <f t="shared" si="10"/>
        <v>6.5438392030805162E-2</v>
      </c>
      <c r="K40" s="32">
        <f t="shared" si="16"/>
        <v>6.5438392030805162E-2</v>
      </c>
      <c r="L40" s="32">
        <f t="shared" si="12"/>
        <v>1.5816739903823623E-2</v>
      </c>
      <c r="M40" s="32">
        <f t="shared" si="17"/>
        <v>8.1255131934628785E-2</v>
      </c>
    </row>
    <row r="41" spans="1:13" x14ac:dyDescent="0.2">
      <c r="A41" s="12" t="str">
        <f>+[1]ESF2015!$E$12</f>
        <v>Impuestos, gravámenes, tasas</v>
      </c>
      <c r="B41" s="15">
        <f>+'[1]ESF2018-2017 (3)'!$L$15</f>
        <v>29811000</v>
      </c>
      <c r="C41" s="14">
        <f>+'[1]ESF2018-2017 (3)'!$J$15</f>
        <v>54928000</v>
      </c>
      <c r="D41" s="15">
        <f>+'[2]ESF2019-2018 (4)'!$J$17</f>
        <v>214494217</v>
      </c>
      <c r="E41" s="45">
        <f t="shared" si="5"/>
        <v>0.8425413437992687</v>
      </c>
      <c r="F41" s="46">
        <f t="shared" si="6"/>
        <v>25117000</v>
      </c>
      <c r="G41" s="45">
        <f t="shared" si="7"/>
        <v>2.9050068635304398</v>
      </c>
      <c r="H41" s="30">
        <f t="shared" si="8"/>
        <v>159566217</v>
      </c>
      <c r="I41" s="32">
        <f t="shared" si="15"/>
        <v>2.3284375861825448E-3</v>
      </c>
      <c r="J41" s="32">
        <f t="shared" si="10"/>
        <v>1.9654566804556575E-3</v>
      </c>
      <c r="K41" s="32">
        <f t="shared" si="16"/>
        <v>4.2938942666382023E-3</v>
      </c>
      <c r="L41" s="32">
        <f t="shared" si="12"/>
        <v>1.1815847527944965E-2</v>
      </c>
      <c r="M41" s="32">
        <f t="shared" si="17"/>
        <v>1.6109741794583167E-2</v>
      </c>
    </row>
    <row r="42" spans="1:13" x14ac:dyDescent="0.2">
      <c r="A42" s="5" t="str">
        <f>+[1]ESF2015!$E$13</f>
        <v>De Renta  y Complementario</v>
      </c>
      <c r="B42" s="6">
        <f>+'[1]ESF2018-2017 (3)'!$L$16</f>
        <v>25268000</v>
      </c>
      <c r="C42" s="7">
        <f>+'[1]ESF2018-2017 (3)'!$J$16</f>
        <v>38501000</v>
      </c>
      <c r="D42" s="6">
        <f>+'[2]ESF2019-2018 (4)'!$J$18</f>
        <v>38501000</v>
      </c>
      <c r="E42" s="45">
        <f t="shared" si="5"/>
        <v>0.52370587304100047</v>
      </c>
      <c r="F42" s="46">
        <f t="shared" si="6"/>
        <v>13233000</v>
      </c>
      <c r="G42" s="45">
        <f t="shared" si="7"/>
        <v>0</v>
      </c>
      <c r="H42" s="30">
        <f t="shared" si="8"/>
        <v>0</v>
      </c>
      <c r="I42" s="32">
        <f t="shared" si="15"/>
        <v>1.9735990381959862E-3</v>
      </c>
      <c r="J42" s="32">
        <f t="shared" si="10"/>
        <v>1.0361450478773718E-3</v>
      </c>
      <c r="K42" s="32">
        <f t="shared" si="16"/>
        <v>3.009744086073358E-3</v>
      </c>
      <c r="L42" s="32">
        <f t="shared" si="12"/>
        <v>-1.1809890557300641E-4</v>
      </c>
      <c r="M42" s="32">
        <f t="shared" si="17"/>
        <v>2.8916451805003516E-3</v>
      </c>
    </row>
    <row r="43" spans="1:13" x14ac:dyDescent="0.2">
      <c r="A43" s="5" t="str">
        <f>+[1]ESF2015!$E$14</f>
        <v>De Renta para la Equidad - CREE</v>
      </c>
      <c r="B43" s="6">
        <f>+'[1]ESF2018-2017 (3)'!$L$17</f>
        <v>4543000</v>
      </c>
      <c r="C43" s="7">
        <f>+'[1]ESF2018-2017 (3)'!$J$17</f>
        <v>4543000</v>
      </c>
      <c r="D43" s="6">
        <f>+'[2]ESF2019-2018 (4)'!$J$19</f>
        <v>4543000</v>
      </c>
      <c r="E43" s="45">
        <f t="shared" si="5"/>
        <v>0</v>
      </c>
      <c r="F43" s="46">
        <f t="shared" si="6"/>
        <v>0</v>
      </c>
      <c r="G43" s="45">
        <f t="shared" si="7"/>
        <v>0</v>
      </c>
      <c r="H43" s="30">
        <f t="shared" si="8"/>
        <v>0</v>
      </c>
      <c r="I43" s="32">
        <f t="shared" si="15"/>
        <v>3.548385479865587E-4</v>
      </c>
      <c r="J43" s="32">
        <f t="shared" si="10"/>
        <v>3.0202973950728233E-7</v>
      </c>
      <c r="K43" s="32">
        <f t="shared" si="16"/>
        <v>3.5514057772606598E-4</v>
      </c>
      <c r="L43" s="32">
        <f t="shared" si="12"/>
        <v>-1.3935308901539406E-5</v>
      </c>
      <c r="M43" s="32">
        <f t="shared" si="17"/>
        <v>3.4120526882452657E-4</v>
      </c>
    </row>
    <row r="44" spans="1:13" x14ac:dyDescent="0.2">
      <c r="A44" s="5" t="str">
        <f>+'[1]ESF2018-2017 (3)'!$G$18</f>
        <v>Impuesto Ganancia Ocasional</v>
      </c>
      <c r="B44" s="6"/>
      <c r="C44" s="7">
        <f>+'[1]ESF2018-2017 (3)'!$J$18</f>
        <v>11884000</v>
      </c>
      <c r="D44" s="6">
        <f>+'[2]ESF2019-2018 (4)'!$J$20</f>
        <v>11884000</v>
      </c>
      <c r="E44" s="45"/>
      <c r="F44" s="46">
        <f t="shared" si="6"/>
        <v>11884000</v>
      </c>
      <c r="G44" s="45">
        <f t="shared" si="7"/>
        <v>0</v>
      </c>
      <c r="H44" s="30">
        <f t="shared" si="8"/>
        <v>0</v>
      </c>
      <c r="I44" s="32">
        <f t="shared" si="15"/>
        <v>0</v>
      </c>
      <c r="J44" s="32">
        <f t="shared" si="10"/>
        <v>9.2900960283877787E-4</v>
      </c>
      <c r="K44" s="32">
        <f t="shared" si="16"/>
        <v>9.2900960283877787E-4</v>
      </c>
      <c r="L44" s="32">
        <f t="shared" si="12"/>
        <v>-3.6453271183335754E-5</v>
      </c>
      <c r="M44" s="32">
        <f t="shared" si="17"/>
        <v>8.9255633165544212E-4</v>
      </c>
    </row>
    <row r="45" spans="1:13" x14ac:dyDescent="0.2">
      <c r="A45" s="5" t="str">
        <f>+'[2]ESF2019-2018 (4)'!$G$21</f>
        <v>Impuesto a la Propiedad Raiz</v>
      </c>
      <c r="B45" s="6"/>
      <c r="C45" s="7"/>
      <c r="D45" s="6">
        <f>+'[2]ESF2019-2018 (4)'!$J$21</f>
        <v>159566217</v>
      </c>
      <c r="E45" s="45"/>
      <c r="F45" s="46">
        <f t="shared" si="6"/>
        <v>0</v>
      </c>
      <c r="G45" s="45"/>
      <c r="H45" s="30">
        <f t="shared" si="8"/>
        <v>159566217</v>
      </c>
      <c r="I45" s="32">
        <f t="shared" si="15"/>
        <v>0</v>
      </c>
      <c r="J45" s="32">
        <f t="shared" si="10"/>
        <v>0</v>
      </c>
      <c r="K45" s="32">
        <f t="shared" si="16"/>
        <v>0</v>
      </c>
      <c r="L45" s="32">
        <f t="shared" si="12"/>
        <v>1.1984335013602848E-2</v>
      </c>
      <c r="M45" s="32">
        <f t="shared" si="17"/>
        <v>1.1984335013602848E-2</v>
      </c>
    </row>
    <row r="46" spans="1:13" x14ac:dyDescent="0.2">
      <c r="A46" s="5" t="str">
        <f>+'[2]ESF2019-2018 (4)'!$G$22</f>
        <v>Beneficios a los Empleados</v>
      </c>
      <c r="B46" s="6"/>
      <c r="C46" s="6"/>
      <c r="D46" s="6">
        <f>+'[2]ESF2019-2018 (4)'!$J$22</f>
        <v>3033622</v>
      </c>
      <c r="E46" s="45"/>
      <c r="F46" s="46">
        <f t="shared" si="6"/>
        <v>0</v>
      </c>
      <c r="G46" s="45"/>
      <c r="H46" s="30">
        <f t="shared" si="8"/>
        <v>3033622</v>
      </c>
      <c r="I46" s="32">
        <f t="shared" si="15"/>
        <v>0</v>
      </c>
      <c r="J46" s="32">
        <f t="shared" si="10"/>
        <v>0</v>
      </c>
      <c r="K46" s="32">
        <f t="shared" si="16"/>
        <v>0</v>
      </c>
      <c r="L46" s="32">
        <f t="shared" si="12"/>
        <v>2.2784235307550031E-4</v>
      </c>
      <c r="M46" s="32">
        <f t="shared" si="17"/>
        <v>2.2784235307550031E-4</v>
      </c>
    </row>
    <row r="47" spans="1:13" x14ac:dyDescent="0.2">
      <c r="A47" s="12" t="str">
        <f>+[1]ESF2015!$E$15</f>
        <v>Total del pasivo corriente</v>
      </c>
      <c r="B47" s="15">
        <f>+'[1]ESF2018-2017 (3)'!$L$19</f>
        <v>371447022</v>
      </c>
      <c r="C47" s="14">
        <f>+'[1]ESF2018-2017 (3)'!$J$19</f>
        <v>1238247291</v>
      </c>
      <c r="D47" s="15">
        <f>+'[2]ESF2019-2018 (4)'!$J$24</f>
        <v>2221757432</v>
      </c>
      <c r="E47" s="45">
        <f t="shared" si="5"/>
        <v>2.3335771123775491</v>
      </c>
      <c r="F47" s="46">
        <f t="shared" si="6"/>
        <v>866800269</v>
      </c>
      <c r="G47" s="45">
        <f t="shared" si="7"/>
        <v>0.79427602882597381</v>
      </c>
      <c r="H47" s="30">
        <f t="shared" si="8"/>
        <v>983510141</v>
      </c>
      <c r="I47" s="32">
        <f t="shared" si="15"/>
        <v>2.9012485569097805E-2</v>
      </c>
      <c r="J47" s="32">
        <f t="shared" si="10"/>
        <v>6.7785194002435573E-2</v>
      </c>
      <c r="K47" s="32">
        <f t="shared" si="16"/>
        <v>9.6797679571533374E-2</v>
      </c>
      <c r="L47" s="32">
        <f t="shared" si="12"/>
        <v>7.0069003644061989E-2</v>
      </c>
      <c r="M47" s="32">
        <f t="shared" si="17"/>
        <v>0.16686668321559536</v>
      </c>
    </row>
    <row r="48" spans="1:13" x14ac:dyDescent="0.2">
      <c r="A48" s="11" t="s">
        <v>2</v>
      </c>
      <c r="B48" s="6"/>
      <c r="C48" s="7"/>
      <c r="D48" s="6"/>
      <c r="E48" s="45"/>
      <c r="F48" s="46"/>
      <c r="G48" s="45"/>
      <c r="H48" s="30"/>
      <c r="I48" s="32"/>
      <c r="J48" s="32"/>
      <c r="K48" s="32"/>
      <c r="L48" s="32"/>
      <c r="M48" s="32"/>
    </row>
    <row r="49" spans="1:13" x14ac:dyDescent="0.2">
      <c r="A49" s="12" t="str">
        <f>+[1]ESF2015!$E$17</f>
        <v>Diferidos</v>
      </c>
      <c r="B49" s="15">
        <f>+'[1]ESF2018-2017 (3)'!$L$23</f>
        <v>1126428979</v>
      </c>
      <c r="C49" s="14">
        <f>+'[1]ESF2018-2017 (3)'!$J$23</f>
        <v>1114725386</v>
      </c>
      <c r="D49" s="15">
        <f>+'[2]ESF2019-2018 (4)'!$J$28</f>
        <v>1114725386</v>
      </c>
      <c r="E49" s="45">
        <f t="shared" si="5"/>
        <v>-1.0389996367449634E-2</v>
      </c>
      <c r="F49" s="46">
        <f t="shared" si="6"/>
        <v>-11703593</v>
      </c>
      <c r="G49" s="45">
        <f t="shared" si="7"/>
        <v>0</v>
      </c>
      <c r="H49" s="30">
        <f t="shared" si="8"/>
        <v>0</v>
      </c>
      <c r="I49" s="32">
        <f t="shared" si="15"/>
        <v>8.7981603195760913E-2</v>
      </c>
      <c r="J49" s="32">
        <f t="shared" si="10"/>
        <v>-8.4001887043581858E-4</v>
      </c>
      <c r="K49" s="32">
        <f t="shared" si="16"/>
        <v>8.7141584325325094E-2</v>
      </c>
      <c r="L49" s="32">
        <f t="shared" si="12"/>
        <v>-3.4193358120840345E-3</v>
      </c>
      <c r="M49" s="32">
        <f t="shared" ref="M49:M53" si="18">+D49/$D$67</f>
        <v>8.372224851324106E-2</v>
      </c>
    </row>
    <row r="50" spans="1:13" x14ac:dyDescent="0.2">
      <c r="A50" s="5" t="str">
        <f>+[1]ESF2015!$E$18</f>
        <v>Impuesto diferido</v>
      </c>
      <c r="B50" s="6">
        <f>+'[1]ESF2018-2017 (3)'!$L$24</f>
        <v>1126428979</v>
      </c>
      <c r="C50" s="7">
        <f>+'[1]ESF2018-2017 (3)'!$J$24</f>
        <v>1114725386</v>
      </c>
      <c r="D50" s="6">
        <f>+'[2]ESF2019-2018 (4)'!$J$29</f>
        <v>1114725386</v>
      </c>
      <c r="E50" s="45">
        <f t="shared" si="5"/>
        <v>-1.0389996367449634E-2</v>
      </c>
      <c r="F50" s="46">
        <f t="shared" si="6"/>
        <v>-11703593</v>
      </c>
      <c r="G50" s="45">
        <f t="shared" si="7"/>
        <v>0</v>
      </c>
      <c r="H50" s="30">
        <f t="shared" si="8"/>
        <v>0</v>
      </c>
      <c r="I50" s="32">
        <f t="shared" si="15"/>
        <v>8.7981603195760913E-2</v>
      </c>
      <c r="J50" s="32">
        <f t="shared" si="10"/>
        <v>-8.4001887043581858E-4</v>
      </c>
      <c r="K50" s="32">
        <f t="shared" si="16"/>
        <v>8.7141584325325094E-2</v>
      </c>
      <c r="L50" s="32">
        <f t="shared" si="12"/>
        <v>-3.4193358120840345E-3</v>
      </c>
      <c r="M50" s="32">
        <f t="shared" si="18"/>
        <v>8.372224851324106E-2</v>
      </c>
    </row>
    <row r="51" spans="1:13" x14ac:dyDescent="0.2">
      <c r="A51" s="5" t="str">
        <f>+'[1]ESF2016-2015'!$G$23</f>
        <v>Anticipo y avances recibidos</v>
      </c>
      <c r="B51" s="6">
        <f>+'[1]ESF2018-2017 (3)'!$L$25</f>
        <v>50000000</v>
      </c>
      <c r="C51" s="7">
        <f>+'[1]ESF2018-2017 (3)'!$J$25</f>
        <v>45000000</v>
      </c>
      <c r="D51" s="6">
        <f>+'[2]ESF2019-2018 (4)'!$J$31</f>
        <v>8642627</v>
      </c>
      <c r="E51" s="45">
        <f t="shared" si="5"/>
        <v>-0.1</v>
      </c>
      <c r="F51" s="46">
        <f t="shared" si="6"/>
        <v>-5000000</v>
      </c>
      <c r="G51" s="45">
        <f t="shared" si="7"/>
        <v>-0.80794162222222221</v>
      </c>
      <c r="H51" s="30">
        <f t="shared" si="8"/>
        <v>-36357373</v>
      </c>
      <c r="I51" s="32">
        <f t="shared" si="15"/>
        <v>3.9053329076222617E-3</v>
      </c>
      <c r="J51" s="32">
        <f t="shared" si="10"/>
        <v>-3.8754158081773411E-4</v>
      </c>
      <c r="K51" s="32">
        <f t="shared" si="16"/>
        <v>3.5177913268045276E-3</v>
      </c>
      <c r="L51" s="32">
        <f t="shared" si="12"/>
        <v>-2.8686806358767022E-3</v>
      </c>
      <c r="M51" s="32">
        <f t="shared" si="18"/>
        <v>6.4911069092782553E-4</v>
      </c>
    </row>
    <row r="52" spans="1:13" x14ac:dyDescent="0.2">
      <c r="A52" s="12" t="str">
        <f>+[1]ESF2015!$E$19</f>
        <v>Total pasivos no corriente</v>
      </c>
      <c r="B52" s="15">
        <f>+'[1]ESF2018-2017 (3)'!$L$27</f>
        <v>1176428979</v>
      </c>
      <c r="C52" s="15">
        <f>+'[1]ESF2018-2017 (3)'!$J$27</f>
        <v>1159725386</v>
      </c>
      <c r="D52" s="15">
        <f>+'[2]ESF2019-2018 (4)'!$J$32</f>
        <v>1123368013</v>
      </c>
      <c r="E52" s="45">
        <f t="shared" si="5"/>
        <v>-1.4198556222406691E-2</v>
      </c>
      <c r="F52" s="46">
        <f t="shared" si="6"/>
        <v>-16703593</v>
      </c>
      <c r="G52" s="45">
        <f t="shared" si="7"/>
        <v>-3.1349984607476719E-2</v>
      </c>
      <c r="H52" s="30">
        <f t="shared" si="8"/>
        <v>-36357373</v>
      </c>
      <c r="I52" s="32">
        <f t="shared" si="15"/>
        <v>9.1886936103383179E-2</v>
      </c>
      <c r="J52" s="32">
        <f t="shared" si="10"/>
        <v>-1.227560451253551E-3</v>
      </c>
      <c r="K52" s="32">
        <f t="shared" si="16"/>
        <v>9.0659375652129628E-2</v>
      </c>
      <c r="L52" s="32">
        <f t="shared" si="12"/>
        <v>-6.2880164479607453E-3</v>
      </c>
      <c r="M52" s="32">
        <f t="shared" si="18"/>
        <v>8.4371359204168883E-2</v>
      </c>
    </row>
    <row r="53" spans="1:13" x14ac:dyDescent="0.2">
      <c r="A53" s="70" t="s">
        <v>5</v>
      </c>
      <c r="B53" s="71">
        <f>+'[1]ESF2018-2017 (3)'!$L$29</f>
        <v>1547876001</v>
      </c>
      <c r="C53" s="71">
        <f>+'[1]ESF2018-2017 (3)'!$J$29</f>
        <v>2397972677</v>
      </c>
      <c r="D53" s="71">
        <f>+'[2]ESF2019-2018 (4)'!$J$34</f>
        <v>3345125445</v>
      </c>
      <c r="E53" s="45">
        <f t="shared" si="5"/>
        <v>0.54920205200597327</v>
      </c>
      <c r="F53" s="46">
        <f t="shared" si="6"/>
        <v>850096676</v>
      </c>
      <c r="G53" s="45">
        <f t="shared" si="7"/>
        <v>0.39498063388484556</v>
      </c>
      <c r="H53" s="30">
        <f t="shared" si="8"/>
        <v>947152768</v>
      </c>
      <c r="I53" s="32">
        <f t="shared" si="15"/>
        <v>0.12089942167248098</v>
      </c>
      <c r="J53" s="32">
        <f t="shared" si="10"/>
        <v>6.6557633551182008E-2</v>
      </c>
      <c r="K53" s="32">
        <f t="shared" si="16"/>
        <v>0.18745705522366299</v>
      </c>
      <c r="L53" s="32">
        <f t="shared" si="12"/>
        <v>6.3780987196101285E-2</v>
      </c>
      <c r="M53" s="32">
        <f t="shared" si="18"/>
        <v>0.25123804241976427</v>
      </c>
    </row>
    <row r="54" spans="1:13" x14ac:dyDescent="0.2">
      <c r="A54" s="5"/>
      <c r="B54" s="6"/>
      <c r="C54" s="7"/>
      <c r="D54" s="6"/>
      <c r="E54" s="45"/>
      <c r="F54" s="46"/>
      <c r="G54" s="45"/>
      <c r="H54" s="30"/>
      <c r="I54" s="32"/>
      <c r="J54" s="32"/>
      <c r="K54" s="32"/>
      <c r="L54" s="32"/>
      <c r="M54" s="32"/>
    </row>
    <row r="55" spans="1:13" x14ac:dyDescent="0.2">
      <c r="A55" s="8" t="s">
        <v>6</v>
      </c>
      <c r="B55" s="6"/>
      <c r="C55" s="7"/>
      <c r="D55" s="6"/>
      <c r="E55" s="45"/>
      <c r="F55" s="46"/>
      <c r="G55" s="45"/>
      <c r="H55" s="30"/>
      <c r="I55" s="32"/>
      <c r="J55" s="32"/>
      <c r="K55" s="32"/>
      <c r="L55" s="32"/>
      <c r="M55" s="32"/>
    </row>
    <row r="56" spans="1:13" x14ac:dyDescent="0.2">
      <c r="A56" s="12" t="str">
        <f>+[1]ESF2015!$E$23</f>
        <v>Capital social</v>
      </c>
      <c r="B56" s="15">
        <f>+'[1]ESF2018-2017 (3)'!$L$34</f>
        <v>320000000</v>
      </c>
      <c r="C56" s="14">
        <f>+'[1]ESF2018-2017 (3)'!$J$33</f>
        <v>320000000</v>
      </c>
      <c r="D56" s="15">
        <f>+'[2]ESF2019-2018 (4)'!$J$38</f>
        <v>320000000</v>
      </c>
      <c r="E56" s="45">
        <f t="shared" si="5"/>
        <v>0</v>
      </c>
      <c r="F56" s="46">
        <f t="shared" si="6"/>
        <v>0</v>
      </c>
      <c r="G56" s="45">
        <f t="shared" si="7"/>
        <v>0</v>
      </c>
      <c r="H56" s="30">
        <f t="shared" si="8"/>
        <v>0</v>
      </c>
      <c r="I56" s="32">
        <f t="shared" si="15"/>
        <v>2.4994130608782476E-2</v>
      </c>
      <c r="J56" s="32">
        <f t="shared" si="10"/>
        <v>2.1274381827498384E-5</v>
      </c>
      <c r="K56" s="32">
        <f t="shared" ref="K56:K63" si="19">+C56/$C$67</f>
        <v>2.5015404990609974E-2</v>
      </c>
      <c r="L56" s="32">
        <f t="shared" si="12"/>
        <v>-9.8157579759907895E-4</v>
      </c>
      <c r="M56" s="32">
        <f t="shared" ref="M56:M63" si="20">+D56/$D$67</f>
        <v>2.4033829193010895E-2</v>
      </c>
    </row>
    <row r="57" spans="1:13" x14ac:dyDescent="0.2">
      <c r="A57" s="5" t="str">
        <f>+[1]ESF2015!$E$24</f>
        <v>Capital Suscrito y Pagado</v>
      </c>
      <c r="B57" s="6">
        <f>+'[1]ESF2018-2017 (3)'!$L$34</f>
        <v>320000000</v>
      </c>
      <c r="C57" s="7">
        <f>+'[1]ESF2018-2017 (3)'!$J$34</f>
        <v>320000000</v>
      </c>
      <c r="D57" s="6">
        <f>+'[2]ESF2019-2018 (4)'!$J$39</f>
        <v>320000000</v>
      </c>
      <c r="E57" s="45">
        <f t="shared" si="5"/>
        <v>0</v>
      </c>
      <c r="F57" s="46">
        <f t="shared" si="6"/>
        <v>0</v>
      </c>
      <c r="G57" s="45">
        <f t="shared" si="7"/>
        <v>0</v>
      </c>
      <c r="H57" s="30">
        <f t="shared" si="8"/>
        <v>0</v>
      </c>
      <c r="I57" s="32">
        <f t="shared" si="15"/>
        <v>2.4994130608782476E-2</v>
      </c>
      <c r="J57" s="32">
        <f t="shared" si="10"/>
        <v>2.1274381827498384E-5</v>
      </c>
      <c r="K57" s="32">
        <f t="shared" si="19"/>
        <v>2.5015404990609974E-2</v>
      </c>
      <c r="L57" s="32">
        <f t="shared" si="12"/>
        <v>-9.8157579759907895E-4</v>
      </c>
      <c r="M57" s="32">
        <f t="shared" si="20"/>
        <v>2.4033829193010895E-2</v>
      </c>
    </row>
    <row r="58" spans="1:13" x14ac:dyDescent="0.2">
      <c r="A58" s="12" t="str">
        <f>+[1]ESF2015!$E$25</f>
        <v>Ganancias o perdidas Retenidas</v>
      </c>
      <c r="B58" s="15">
        <f>+'[1]ESF2018-2017 (3)'!$L$35</f>
        <v>-887907167</v>
      </c>
      <c r="C58" s="14">
        <f>+'[1]ESF2018-2017 (3)'!$J$35</f>
        <v>-1634845175</v>
      </c>
      <c r="D58" s="15">
        <f>+'[2]ESF2019-2018 (4)'!$J$40</f>
        <v>-2059549654</v>
      </c>
      <c r="E58" s="45">
        <f t="shared" si="5"/>
        <v>0.84123434944635378</v>
      </c>
      <c r="F58" s="46">
        <f t="shared" si="6"/>
        <v>-746938008</v>
      </c>
      <c r="G58" s="45">
        <f t="shared" si="7"/>
        <v>0.25978269104289953</v>
      </c>
      <c r="H58" s="30">
        <f t="shared" si="8"/>
        <v>-424704479</v>
      </c>
      <c r="I58" s="32">
        <f t="shared" si="15"/>
        <v>-6.9351461563975106E-2</v>
      </c>
      <c r="J58" s="32">
        <f t="shared" si="10"/>
        <v>-5.844952015343001E-2</v>
      </c>
      <c r="K58" s="32">
        <f t="shared" si="19"/>
        <v>-0.12780098171740512</v>
      </c>
      <c r="L58" s="32">
        <f t="shared" si="12"/>
        <v>-2.6882970153722041E-2</v>
      </c>
      <c r="M58" s="32">
        <f t="shared" si="20"/>
        <v>-0.15468395187112716</v>
      </c>
    </row>
    <row r="59" spans="1:13" x14ac:dyDescent="0.2">
      <c r="A59" s="5" t="str">
        <f>+'[1]ESF2016-2015'!$G$32</f>
        <v>Ganancias o Perdidas acumuladas</v>
      </c>
      <c r="B59" s="6">
        <f>+'[1]ESF2018-2017 (3)'!$L$36</f>
        <v>265778947</v>
      </c>
      <c r="C59" s="7">
        <f>+'[1]ESF2018-2017 (3)'!$J$36</f>
        <v>294396533</v>
      </c>
      <c r="D59" s="6">
        <f>+'[2]ESF2019-2018 (4)'!$J$41</f>
        <v>-452541475</v>
      </c>
      <c r="E59" s="45">
        <f t="shared" si="5"/>
        <v>0.10767439002608435</v>
      </c>
      <c r="F59" s="46">
        <f t="shared" si="6"/>
        <v>28617586</v>
      </c>
      <c r="G59" s="45">
        <f t="shared" si="7"/>
        <v>-2.537183438909588</v>
      </c>
      <c r="H59" s="30">
        <f t="shared" si="8"/>
        <v>-746938008</v>
      </c>
      <c r="I59" s="32">
        <f t="shared" si="15"/>
        <v>2.0759105357445861E-2</v>
      </c>
      <c r="J59" s="32">
        <f t="shared" si="10"/>
        <v>2.2547962076368694E-3</v>
      </c>
      <c r="K59" s="32">
        <f t="shared" si="19"/>
        <v>2.301390156508273E-2</v>
      </c>
      <c r="L59" s="32">
        <f t="shared" si="12"/>
        <v>-5.7002353167905265E-2</v>
      </c>
      <c r="M59" s="32">
        <f t="shared" si="20"/>
        <v>-3.3988451602822531E-2</v>
      </c>
    </row>
    <row r="60" spans="1:13" x14ac:dyDescent="0.2">
      <c r="A60" s="5" t="str">
        <f>+[1]ESF2015!$E$27</f>
        <v>Resultados del Ejercicio</v>
      </c>
      <c r="B60" s="6">
        <f>+'[1]ESF2018-2017 (3)'!$L$37</f>
        <v>28617586</v>
      </c>
      <c r="C60" s="7">
        <f>+'[1]ESF2018-2017 (3)'!$J$37</f>
        <v>-746938008</v>
      </c>
      <c r="D60" s="6">
        <f>+'[2]ESF2019-2018 (4)'!$J$42</f>
        <v>-424704479</v>
      </c>
      <c r="E60" s="45">
        <f t="shared" si="5"/>
        <v>-27.100664395662164</v>
      </c>
      <c r="F60" s="46">
        <f t="shared" si="6"/>
        <v>-775555594</v>
      </c>
      <c r="G60" s="45">
        <f t="shared" si="7"/>
        <v>-0.43140598757695031</v>
      </c>
      <c r="H60" s="30">
        <f t="shared" si="8"/>
        <v>322233529</v>
      </c>
      <c r="I60" s="32">
        <f t="shared" si="15"/>
        <v>2.2352240068502028E-3</v>
      </c>
      <c r="J60" s="32">
        <f t="shared" si="10"/>
        <v>-6.0625713922473554E-2</v>
      </c>
      <c r="K60" s="32">
        <f t="shared" si="19"/>
        <v>-5.8390489915623352E-2</v>
      </c>
      <c r="L60" s="32">
        <f t="shared" si="12"/>
        <v>2.6492755835021219E-2</v>
      </c>
      <c r="M60" s="32">
        <f t="shared" si="20"/>
        <v>-3.1897734080602133E-2</v>
      </c>
    </row>
    <row r="61" spans="1:13" x14ac:dyDescent="0.2">
      <c r="A61" s="5" t="str">
        <f>+[1]ESF2015!$E$28</f>
        <v>Ajustes por adopcion NIIF pymes</v>
      </c>
      <c r="B61" s="6">
        <f>+'[1]ESF2018-2017 (3)'!$L$38</f>
        <v>-1182303700</v>
      </c>
      <c r="C61" s="7">
        <f>+'[1]ESF2018-2017 (3)'!$J$38</f>
        <v>-1182303700</v>
      </c>
      <c r="D61" s="6">
        <f>+'[2]ESF2019-2018 (4)'!$J$43</f>
        <v>-1182303700</v>
      </c>
      <c r="E61" s="45">
        <f t="shared" si="5"/>
        <v>0</v>
      </c>
      <c r="F61" s="46">
        <f t="shared" si="6"/>
        <v>0</v>
      </c>
      <c r="G61" s="45">
        <f t="shared" si="7"/>
        <v>0</v>
      </c>
      <c r="H61" s="30">
        <f t="shared" si="8"/>
        <v>0</v>
      </c>
      <c r="I61" s="32">
        <f t="shared" si="15"/>
        <v>-9.2345790928271165E-2</v>
      </c>
      <c r="J61" s="32">
        <f t="shared" si="10"/>
        <v>-7.8602438593325386E-5</v>
      </c>
      <c r="K61" s="32">
        <f t="shared" si="19"/>
        <v>-9.2424393366864491E-2</v>
      </c>
      <c r="L61" s="32">
        <f t="shared" si="12"/>
        <v>3.6266271791620119E-3</v>
      </c>
      <c r="M61" s="32">
        <f t="shared" si="20"/>
        <v>-8.8797766187702479E-2</v>
      </c>
    </row>
    <row r="62" spans="1:13" x14ac:dyDescent="0.2">
      <c r="A62" s="12" t="str">
        <f>+[1]ESF2015!$E$29</f>
        <v>Superavit por Valorizaciones</v>
      </c>
      <c r="B62" s="15">
        <f>+'[1]ESF2018-2017 (3)'!$L$39</f>
        <v>11823037000</v>
      </c>
      <c r="C62" s="14">
        <f>+'[1]ESF2018-2017 (3)'!$J$39</f>
        <v>11708990000</v>
      </c>
      <c r="D62" s="15">
        <f>+'[2]ESF2019-2018 (4)'!$J$44</f>
        <v>11708990000</v>
      </c>
      <c r="E62" s="45">
        <f t="shared" si="5"/>
        <v>-9.6461679008532242E-3</v>
      </c>
      <c r="F62" s="46">
        <f t="shared" si="6"/>
        <v>-114047000</v>
      </c>
      <c r="G62" s="45">
        <f t="shared" si="7"/>
        <v>0</v>
      </c>
      <c r="H62" s="30">
        <f t="shared" si="8"/>
        <v>0</v>
      </c>
      <c r="I62" s="32">
        <f t="shared" si="15"/>
        <v>0.92345790928271165</v>
      </c>
      <c r="J62" s="32">
        <f t="shared" si="10"/>
        <v>-8.1293877795795E-3</v>
      </c>
      <c r="K62" s="32">
        <f t="shared" si="19"/>
        <v>0.91532852150313215</v>
      </c>
      <c r="L62" s="32">
        <f t="shared" si="12"/>
        <v>-3.5916441244780106E-2</v>
      </c>
      <c r="M62" s="32">
        <f t="shared" si="20"/>
        <v>0.87941208025835205</v>
      </c>
    </row>
    <row r="63" spans="1:13" x14ac:dyDescent="0.2">
      <c r="A63" s="5" t="str">
        <f>+[1]ESF2015!$E$30</f>
        <v>Valorizacion de Terrenos</v>
      </c>
      <c r="B63" s="6">
        <f>+'[1]ESF2018-2017 (3)'!$L$40</f>
        <v>11823037000</v>
      </c>
      <c r="C63" s="7">
        <f>+'[1]ESF2018-2017 (3)'!$J$40</f>
        <v>11708990000</v>
      </c>
      <c r="D63" s="6">
        <f>+'[2]ESF2019-2018 (4)'!$J$45</f>
        <v>11708990000</v>
      </c>
      <c r="E63" s="45">
        <f t="shared" si="5"/>
        <v>-9.6461679008532242E-3</v>
      </c>
      <c r="F63" s="46">
        <f t="shared" si="6"/>
        <v>-114047000</v>
      </c>
      <c r="G63" s="45">
        <f t="shared" si="7"/>
        <v>0</v>
      </c>
      <c r="H63" s="30">
        <f t="shared" si="8"/>
        <v>0</v>
      </c>
      <c r="I63" s="32">
        <f t="shared" si="15"/>
        <v>0.92345790928271165</v>
      </c>
      <c r="J63" s="32">
        <f t="shared" si="10"/>
        <v>-8.1293877795795E-3</v>
      </c>
      <c r="K63" s="32">
        <f t="shared" si="19"/>
        <v>0.91532852150313215</v>
      </c>
      <c r="L63" s="32">
        <f t="shared" si="12"/>
        <v>-3.5916441244780106E-2</v>
      </c>
      <c r="M63" s="32">
        <f t="shared" si="20"/>
        <v>0.87941208025835205</v>
      </c>
    </row>
    <row r="64" spans="1:13" x14ac:dyDescent="0.2">
      <c r="A64" s="12"/>
      <c r="B64" s="6"/>
      <c r="C64" s="7"/>
      <c r="D64" s="6"/>
      <c r="E64" s="45"/>
      <c r="F64" s="46"/>
      <c r="G64" s="45"/>
      <c r="H64" s="30"/>
      <c r="I64" s="32"/>
      <c r="J64" s="32"/>
      <c r="K64" s="32"/>
      <c r="L64" s="32"/>
      <c r="M64" s="32"/>
    </row>
    <row r="65" spans="1:13" x14ac:dyDescent="0.2">
      <c r="A65" s="70" t="s">
        <v>7</v>
      </c>
      <c r="B65" s="71">
        <f>+'[1]ESF2018-2017 (3)'!$L$41</f>
        <v>11255129833</v>
      </c>
      <c r="C65" s="71">
        <f>+'[1]ESF2018-2017 (3)'!$J$41</f>
        <v>10394144825</v>
      </c>
      <c r="D65" s="71">
        <f>+'[2]ESF2019-2018 (4)'!$J$46</f>
        <v>9969440346</v>
      </c>
      <c r="E65" s="45">
        <f t="shared" si="5"/>
        <v>-7.6497119160331237E-2</v>
      </c>
      <c r="F65" s="46">
        <f t="shared" si="6"/>
        <v>-860985008</v>
      </c>
      <c r="G65" s="45">
        <f t="shared" si="7"/>
        <v>-4.0859973201306632E-2</v>
      </c>
      <c r="H65" s="30">
        <f t="shared" si="8"/>
        <v>-424704479</v>
      </c>
      <c r="I65" s="32">
        <f t="shared" si="15"/>
        <v>0.87910057832751898</v>
      </c>
      <c r="J65" s="32">
        <f t="shared" si="10"/>
        <v>-6.6557633551181938E-2</v>
      </c>
      <c r="K65" s="32">
        <f>+C65/$C$67</f>
        <v>0.81254294477633704</v>
      </c>
      <c r="L65" s="32">
        <f t="shared" si="12"/>
        <v>-6.3780987196101258E-2</v>
      </c>
      <c r="M65" s="32">
        <f>+D65/$D$67</f>
        <v>0.74876195758023578</v>
      </c>
    </row>
    <row r="66" spans="1:13" x14ac:dyDescent="0.2">
      <c r="A66" s="5"/>
      <c r="B66" s="6"/>
      <c r="C66" s="7"/>
      <c r="D66" s="6"/>
      <c r="E66" s="45"/>
      <c r="F66" s="46"/>
      <c r="G66" s="45"/>
      <c r="H66" s="30"/>
      <c r="I66" s="32"/>
      <c r="J66" s="32"/>
      <c r="K66" s="32"/>
      <c r="L66" s="32"/>
      <c r="M66" s="32"/>
    </row>
    <row r="67" spans="1:13" ht="25.5" x14ac:dyDescent="0.2">
      <c r="A67" s="17" t="s">
        <v>8</v>
      </c>
      <c r="B67" s="15">
        <f>+'[1]ESF2018-2017 (3)'!$L$43</f>
        <v>12803005834</v>
      </c>
      <c r="C67" s="15">
        <f>+'[1]ESF2018-2017 (3)'!$J$43</f>
        <v>12792117502</v>
      </c>
      <c r="D67" s="15">
        <f>+'[2]ESF2019-2018 (4)'!$J$48</f>
        <v>13314565791</v>
      </c>
      <c r="E67" s="45">
        <f t="shared" si="5"/>
        <v>-8.5045122537433032E-4</v>
      </c>
      <c r="F67" s="46">
        <f t="shared" si="6"/>
        <v>-10888332</v>
      </c>
      <c r="G67" s="45">
        <f t="shared" si="7"/>
        <v>4.0841423549957005E-2</v>
      </c>
      <c r="H67" s="30">
        <f t="shared" si="8"/>
        <v>522448289</v>
      </c>
      <c r="I67" s="32">
        <f t="shared" si="15"/>
        <v>1</v>
      </c>
      <c r="J67" s="32">
        <f t="shared" si="10"/>
        <v>0</v>
      </c>
      <c r="K67" s="32">
        <f>+C67/$C$67</f>
        <v>1</v>
      </c>
      <c r="L67" s="32">
        <f t="shared" si="12"/>
        <v>0</v>
      </c>
      <c r="M67" s="32">
        <f>+D67/$D$67</f>
        <v>1</v>
      </c>
    </row>
    <row r="68" spans="1:13" x14ac:dyDescent="0.2">
      <c r="A68" s="48"/>
      <c r="B68" s="49"/>
      <c r="C68" s="50"/>
      <c r="D68" s="49"/>
      <c r="E68" s="51"/>
      <c r="F68" s="51"/>
      <c r="G68" s="51"/>
      <c r="H68" s="48"/>
      <c r="I68" s="48"/>
      <c r="J68" s="48"/>
      <c r="K68" s="48"/>
      <c r="L68" s="48"/>
      <c r="M68" s="48"/>
    </row>
    <row r="69" spans="1:13" x14ac:dyDescent="0.2">
      <c r="A69" s="48"/>
      <c r="B69" s="49"/>
      <c r="C69" s="50"/>
      <c r="D69" s="49"/>
      <c r="E69" s="51"/>
      <c r="F69" s="51"/>
      <c r="G69" s="51"/>
      <c r="H69" s="48"/>
      <c r="I69" s="48"/>
      <c r="J69" s="48"/>
      <c r="K69" s="48"/>
      <c r="L69" s="48"/>
      <c r="M69" s="48"/>
    </row>
    <row r="70" spans="1:13" x14ac:dyDescent="0.2">
      <c r="A70" s="48"/>
      <c r="B70" s="49"/>
      <c r="C70" s="50"/>
      <c r="D70" s="49"/>
      <c r="E70" s="51"/>
      <c r="F70" s="51"/>
      <c r="G70" s="51"/>
      <c r="H70" s="48"/>
      <c r="I70" s="48"/>
      <c r="J70" s="48"/>
      <c r="K70" s="48"/>
      <c r="L70" s="48"/>
      <c r="M70" s="48"/>
    </row>
    <row r="71" spans="1:13" x14ac:dyDescent="0.2">
      <c r="A71" s="48"/>
      <c r="B71" s="49"/>
      <c r="C71" s="50"/>
      <c r="D71" s="49"/>
      <c r="E71" s="51"/>
      <c r="F71" s="51"/>
      <c r="G71" s="51"/>
      <c r="H71" s="48"/>
      <c r="I71" s="48"/>
      <c r="J71" s="48"/>
      <c r="K71" s="48"/>
      <c r="L71" s="48"/>
      <c r="M71" s="48"/>
    </row>
    <row r="72" spans="1:13" x14ac:dyDescent="0.2">
      <c r="A72" s="48"/>
      <c r="B72" s="49"/>
      <c r="C72" s="50"/>
      <c r="D72" s="49"/>
      <c r="E72" s="51"/>
      <c r="F72" s="51"/>
      <c r="G72" s="51"/>
      <c r="H72" s="48"/>
      <c r="I72" s="48"/>
      <c r="J72" s="48"/>
      <c r="K72" s="48"/>
      <c r="L72" s="48"/>
      <c r="M72" s="48"/>
    </row>
    <row r="73" spans="1:13" x14ac:dyDescent="0.2">
      <c r="A73" s="19"/>
      <c r="B73" s="52"/>
      <c r="C73" s="53"/>
      <c r="D73" s="52"/>
      <c r="E73" s="54"/>
      <c r="F73" s="54"/>
      <c r="G73" s="54"/>
      <c r="H73" s="19"/>
      <c r="I73" s="19"/>
      <c r="J73" s="19"/>
      <c r="K73" s="19"/>
      <c r="L73" s="19"/>
      <c r="M73" s="19"/>
    </row>
    <row r="74" spans="1:13" x14ac:dyDescent="0.2">
      <c r="A74" s="19"/>
      <c r="B74" s="52"/>
      <c r="C74" s="53"/>
      <c r="D74" s="52"/>
      <c r="E74" s="54"/>
      <c r="F74" s="54"/>
      <c r="G74" s="54"/>
      <c r="H74" s="19"/>
      <c r="I74" s="19"/>
      <c r="J74" s="19"/>
      <c r="K74" s="19"/>
      <c r="L74" s="19"/>
      <c r="M74" s="19"/>
    </row>
    <row r="75" spans="1:13" x14ac:dyDescent="0.2">
      <c r="A75" s="19"/>
      <c r="B75" s="52"/>
      <c r="C75" s="53"/>
      <c r="D75" s="52"/>
      <c r="E75" s="54"/>
      <c r="F75" s="54"/>
      <c r="G75" s="54"/>
      <c r="H75" s="19"/>
      <c r="I75" s="19"/>
      <c r="J75" s="19"/>
      <c r="K75" s="19"/>
      <c r="L75" s="19"/>
      <c r="M75" s="19"/>
    </row>
    <row r="76" spans="1:13" x14ac:dyDescent="0.2">
      <c r="A76" s="19"/>
      <c r="B76" s="52"/>
      <c r="C76" s="53"/>
      <c r="D76" s="52"/>
      <c r="E76" s="54"/>
      <c r="F76" s="54"/>
      <c r="G76" s="54"/>
      <c r="H76" s="19"/>
      <c r="I76" s="19"/>
      <c r="J76" s="19"/>
      <c r="K76" s="19"/>
      <c r="L76" s="19"/>
      <c r="M76" s="19"/>
    </row>
    <row r="77" spans="1:13" x14ac:dyDescent="0.2">
      <c r="A77" s="19"/>
      <c r="B77" s="52"/>
      <c r="C77" s="53"/>
      <c r="D77" s="52"/>
      <c r="E77" s="54"/>
      <c r="F77" s="54"/>
      <c r="G77" s="54"/>
      <c r="H77" s="19"/>
      <c r="I77" s="19"/>
      <c r="J77" s="19"/>
      <c r="K77" s="19"/>
      <c r="L77" s="19"/>
      <c r="M77" s="19"/>
    </row>
    <row r="78" spans="1:13" x14ac:dyDescent="0.2">
      <c r="A78" s="19"/>
      <c r="B78" s="52"/>
      <c r="C78" s="53"/>
      <c r="D78" s="52"/>
      <c r="E78" s="54"/>
      <c r="F78" s="54"/>
      <c r="G78" s="54"/>
      <c r="H78" s="19"/>
      <c r="I78" s="19"/>
      <c r="J78" s="19"/>
      <c r="K78" s="19"/>
      <c r="L78" s="19"/>
      <c r="M78" s="19"/>
    </row>
    <row r="79" spans="1:13" x14ac:dyDescent="0.2">
      <c r="A79" s="19"/>
      <c r="B79" s="52"/>
      <c r="C79" s="53"/>
      <c r="D79" s="52"/>
      <c r="E79" s="54"/>
      <c r="F79" s="54"/>
      <c r="G79" s="54"/>
      <c r="H79" s="19"/>
      <c r="I79" s="19"/>
      <c r="J79" s="19"/>
      <c r="K79" s="19"/>
      <c r="L79" s="19"/>
      <c r="M79" s="19"/>
    </row>
    <row r="80" spans="1:13" x14ac:dyDescent="0.2">
      <c r="A80" s="19"/>
      <c r="B80" s="52"/>
      <c r="C80" s="53"/>
      <c r="D80" s="52"/>
      <c r="E80" s="54"/>
      <c r="F80" s="54"/>
      <c r="G80" s="54"/>
      <c r="H80" s="19"/>
      <c r="I80" s="19"/>
      <c r="J80" s="19"/>
      <c r="K80" s="19"/>
      <c r="L80" s="19"/>
      <c r="M80" s="19"/>
    </row>
    <row r="81" spans="1:13" x14ac:dyDescent="0.2">
      <c r="A81" s="19"/>
      <c r="B81" s="52"/>
      <c r="C81" s="53"/>
      <c r="D81" s="52"/>
      <c r="E81" s="54"/>
      <c r="F81" s="54"/>
      <c r="G81" s="54"/>
      <c r="H81" s="19"/>
      <c r="I81" s="19"/>
      <c r="J81" s="19"/>
      <c r="K81" s="19"/>
      <c r="L81" s="19"/>
      <c r="M81" s="19"/>
    </row>
    <row r="82" spans="1:13" x14ac:dyDescent="0.2">
      <c r="A82" s="19"/>
      <c r="B82" s="52"/>
      <c r="C82" s="53"/>
      <c r="D82" s="52"/>
      <c r="E82" s="54"/>
      <c r="F82" s="54"/>
      <c r="G82" s="54"/>
      <c r="H82" s="19"/>
      <c r="I82" s="19"/>
      <c r="J82" s="19"/>
      <c r="K82" s="19"/>
      <c r="L82" s="19"/>
      <c r="M82" s="19"/>
    </row>
    <row r="83" spans="1:13" x14ac:dyDescent="0.2">
      <c r="A83" s="19"/>
      <c r="B83" s="52"/>
      <c r="C83" s="53"/>
      <c r="D83" s="52"/>
      <c r="E83" s="54"/>
      <c r="F83" s="54"/>
      <c r="G83" s="54"/>
      <c r="H83" s="19"/>
      <c r="I83" s="19"/>
      <c r="J83" s="19"/>
      <c r="K83" s="19"/>
      <c r="L83" s="19"/>
      <c r="M83" s="19"/>
    </row>
    <row r="84" spans="1:13" x14ac:dyDescent="0.2">
      <c r="A84" s="19"/>
      <c r="B84" s="52"/>
      <c r="C84" s="53"/>
      <c r="D84" s="52"/>
      <c r="E84" s="54"/>
      <c r="F84" s="54"/>
      <c r="G84" s="54"/>
      <c r="H84" s="19"/>
      <c r="I84" s="19"/>
      <c r="J84" s="19"/>
      <c r="K84" s="19"/>
      <c r="L84" s="19"/>
      <c r="M84" s="19"/>
    </row>
    <row r="85" spans="1:13" x14ac:dyDescent="0.2">
      <c r="A85" s="19"/>
      <c r="B85" s="52"/>
      <c r="C85" s="53"/>
      <c r="D85" s="52"/>
      <c r="E85" s="54"/>
      <c r="F85" s="54"/>
      <c r="G85" s="54"/>
      <c r="H85" s="19"/>
      <c r="I85" s="19"/>
      <c r="J85" s="19"/>
      <c r="K85" s="19"/>
      <c r="L85" s="19"/>
      <c r="M85" s="19"/>
    </row>
    <row r="86" spans="1:13" x14ac:dyDescent="0.2">
      <c r="A86" s="19"/>
      <c r="B86" s="52"/>
      <c r="C86" s="53"/>
      <c r="D86" s="52"/>
      <c r="E86" s="54"/>
      <c r="F86" s="54"/>
      <c r="G86" s="54"/>
      <c r="H86" s="19"/>
      <c r="I86" s="19"/>
      <c r="J86" s="19"/>
      <c r="K86" s="19"/>
      <c r="L86" s="19"/>
      <c r="M86" s="19"/>
    </row>
    <row r="87" spans="1:13" x14ac:dyDescent="0.2">
      <c r="A87" s="19"/>
      <c r="B87" s="52"/>
      <c r="C87" s="53"/>
      <c r="D87" s="52"/>
      <c r="E87" s="54"/>
      <c r="F87" s="54"/>
      <c r="G87" s="54"/>
      <c r="H87" s="19"/>
      <c r="I87" s="19"/>
      <c r="J87" s="19"/>
      <c r="K87" s="19"/>
      <c r="L87" s="19"/>
      <c r="M87" s="19"/>
    </row>
    <row r="88" spans="1:13" x14ac:dyDescent="0.2">
      <c r="A88" s="19"/>
      <c r="B88" s="52"/>
      <c r="C88" s="53"/>
      <c r="D88" s="52"/>
      <c r="E88" s="54"/>
      <c r="F88" s="54"/>
      <c r="G88" s="54"/>
      <c r="H88" s="19"/>
      <c r="I88" s="19"/>
      <c r="J88" s="19"/>
      <c r="K88" s="19"/>
      <c r="L88" s="19"/>
      <c r="M88" s="19"/>
    </row>
    <row r="89" spans="1:13" x14ac:dyDescent="0.2">
      <c r="A89" s="19"/>
      <c r="B89" s="52"/>
      <c r="C89" s="53"/>
      <c r="D89" s="52"/>
      <c r="E89" s="54"/>
      <c r="F89" s="54"/>
      <c r="G89" s="54"/>
      <c r="H89" s="19"/>
      <c r="I89" s="19"/>
      <c r="J89" s="19"/>
      <c r="K89" s="19"/>
      <c r="L89" s="19"/>
      <c r="M89" s="19"/>
    </row>
    <row r="90" spans="1:13" x14ac:dyDescent="0.2">
      <c r="A90" s="19"/>
      <c r="B90" s="52"/>
      <c r="C90" s="53"/>
      <c r="D90" s="52"/>
      <c r="E90" s="54"/>
      <c r="F90" s="54"/>
      <c r="G90" s="54"/>
      <c r="H90" s="19"/>
      <c r="I90" s="19"/>
      <c r="J90" s="19"/>
      <c r="K90" s="19"/>
      <c r="L90" s="19"/>
      <c r="M90" s="19"/>
    </row>
    <row r="91" spans="1:13" x14ac:dyDescent="0.2">
      <c r="A91" s="19"/>
      <c r="B91" s="52"/>
      <c r="C91" s="53"/>
      <c r="D91" s="52"/>
      <c r="E91" s="54"/>
      <c r="F91" s="54"/>
      <c r="G91" s="54"/>
      <c r="H91" s="19"/>
      <c r="I91" s="19"/>
      <c r="J91" s="19"/>
      <c r="K91" s="19"/>
      <c r="L91" s="19"/>
      <c r="M91" s="19"/>
    </row>
    <row r="92" spans="1:13" x14ac:dyDescent="0.2">
      <c r="A92" s="19"/>
      <c r="B92" s="52"/>
      <c r="C92" s="53"/>
      <c r="D92" s="52"/>
      <c r="E92" s="54"/>
      <c r="F92" s="54"/>
      <c r="G92" s="54"/>
      <c r="H92" s="19"/>
      <c r="I92" s="19"/>
      <c r="J92" s="19"/>
      <c r="K92" s="19"/>
      <c r="L92" s="19"/>
      <c r="M92" s="19"/>
    </row>
    <row r="93" spans="1:13" x14ac:dyDescent="0.2">
      <c r="A93" s="19"/>
      <c r="B93" s="52"/>
      <c r="C93" s="53"/>
      <c r="D93" s="52"/>
      <c r="E93" s="54"/>
      <c r="F93" s="54"/>
      <c r="G93" s="54"/>
      <c r="H93" s="19"/>
      <c r="I93" s="19"/>
      <c r="J93" s="19"/>
      <c r="K93" s="19"/>
      <c r="L93" s="19"/>
      <c r="M93" s="19"/>
    </row>
    <row r="94" spans="1:13" x14ac:dyDescent="0.2">
      <c r="A94" s="19"/>
      <c r="B94" s="52"/>
      <c r="C94" s="53"/>
      <c r="D94" s="52"/>
      <c r="E94" s="54"/>
      <c r="F94" s="54"/>
      <c r="G94" s="54"/>
      <c r="H94" s="19"/>
      <c r="I94" s="19"/>
      <c r="J94" s="19"/>
      <c r="K94" s="19"/>
      <c r="L94" s="19"/>
      <c r="M94" s="19"/>
    </row>
    <row r="95" spans="1:13" x14ac:dyDescent="0.2">
      <c r="A95" s="19"/>
      <c r="B95" s="52"/>
      <c r="C95" s="53"/>
      <c r="D95" s="52"/>
      <c r="E95" s="54"/>
      <c r="F95" s="54"/>
      <c r="G95" s="54"/>
      <c r="H95" s="19"/>
      <c r="I95" s="19"/>
      <c r="J95" s="19"/>
      <c r="K95" s="19"/>
      <c r="L95" s="19"/>
      <c r="M95" s="19"/>
    </row>
    <row r="96" spans="1:13" x14ac:dyDescent="0.2">
      <c r="A96" s="19"/>
      <c r="B96" s="52"/>
      <c r="C96" s="53"/>
      <c r="D96" s="52"/>
      <c r="E96" s="54"/>
      <c r="F96" s="54"/>
      <c r="G96" s="54"/>
      <c r="H96" s="19"/>
      <c r="I96" s="19"/>
      <c r="J96" s="19"/>
      <c r="K96" s="19"/>
      <c r="L96" s="19"/>
      <c r="M96" s="19"/>
    </row>
    <row r="97" spans="1:13" x14ac:dyDescent="0.2">
      <c r="A97" s="19"/>
      <c r="B97" s="52"/>
      <c r="C97" s="53"/>
      <c r="D97" s="52"/>
      <c r="E97" s="54"/>
      <c r="F97" s="54"/>
      <c r="G97" s="54"/>
      <c r="H97" s="19"/>
      <c r="I97" s="19"/>
      <c r="J97" s="19"/>
      <c r="K97" s="19"/>
      <c r="L97" s="19"/>
      <c r="M97" s="19"/>
    </row>
    <row r="98" spans="1:13" x14ac:dyDescent="0.2">
      <c r="A98" s="19"/>
      <c r="B98" s="52"/>
      <c r="C98" s="53"/>
      <c r="D98" s="52"/>
      <c r="E98" s="54"/>
      <c r="F98" s="54"/>
      <c r="G98" s="54"/>
      <c r="H98" s="19"/>
      <c r="I98" s="19"/>
      <c r="J98" s="19"/>
      <c r="K98" s="19"/>
      <c r="L98" s="19"/>
      <c r="M98" s="19"/>
    </row>
    <row r="99" spans="1:13" x14ac:dyDescent="0.2">
      <c r="A99" s="19"/>
      <c r="B99" s="52"/>
      <c r="C99" s="53"/>
      <c r="D99" s="52"/>
      <c r="E99" s="54"/>
      <c r="F99" s="54"/>
      <c r="G99" s="54"/>
      <c r="H99" s="19"/>
      <c r="I99" s="19"/>
      <c r="J99" s="19"/>
      <c r="K99" s="19"/>
      <c r="L99" s="19"/>
      <c r="M99" s="19"/>
    </row>
    <row r="100" spans="1:13" x14ac:dyDescent="0.2">
      <c r="A100" s="19"/>
      <c r="B100" s="52"/>
      <c r="C100" s="53"/>
      <c r="D100" s="52"/>
      <c r="E100" s="54"/>
      <c r="F100" s="54"/>
      <c r="G100" s="54"/>
      <c r="H100" s="19"/>
      <c r="I100" s="19"/>
      <c r="J100" s="19"/>
      <c r="K100" s="19"/>
      <c r="L100" s="19"/>
      <c r="M100" s="19"/>
    </row>
    <row r="101" spans="1:13" x14ac:dyDescent="0.2">
      <c r="A101" s="19"/>
      <c r="B101" s="52"/>
      <c r="C101" s="53"/>
      <c r="D101" s="52"/>
      <c r="E101" s="54"/>
      <c r="F101" s="54"/>
      <c r="G101" s="54"/>
      <c r="H101" s="19"/>
      <c r="I101" s="19"/>
      <c r="J101" s="19"/>
      <c r="K101" s="19"/>
      <c r="L101" s="19"/>
      <c r="M101" s="19"/>
    </row>
    <row r="102" spans="1:13" x14ac:dyDescent="0.2">
      <c r="A102" s="19"/>
      <c r="B102" s="52"/>
      <c r="C102" s="53"/>
      <c r="D102" s="52"/>
      <c r="E102" s="54"/>
      <c r="F102" s="54"/>
      <c r="G102" s="54"/>
      <c r="H102" s="19"/>
      <c r="I102" s="19"/>
      <c r="J102" s="19"/>
      <c r="K102" s="19"/>
      <c r="L102" s="19"/>
      <c r="M102" s="19"/>
    </row>
    <row r="103" spans="1:13" x14ac:dyDescent="0.2">
      <c r="A103" s="19"/>
      <c r="B103" s="52"/>
      <c r="C103" s="53"/>
      <c r="D103" s="52"/>
      <c r="E103" s="54"/>
      <c r="F103" s="54"/>
      <c r="G103" s="54"/>
      <c r="H103" s="19"/>
      <c r="I103" s="19"/>
      <c r="J103" s="19"/>
      <c r="K103" s="19"/>
      <c r="L103" s="19"/>
      <c r="M103" s="19"/>
    </row>
    <row r="104" spans="1:13" x14ac:dyDescent="0.2">
      <c r="A104" s="19"/>
      <c r="B104" s="52"/>
      <c r="C104" s="53"/>
      <c r="D104" s="52"/>
      <c r="E104" s="54"/>
      <c r="F104" s="54"/>
      <c r="G104" s="54"/>
      <c r="H104" s="19"/>
      <c r="I104" s="19"/>
      <c r="J104" s="19"/>
      <c r="K104" s="19"/>
      <c r="L104" s="19"/>
      <c r="M104" s="19"/>
    </row>
    <row r="105" spans="1:13" x14ac:dyDescent="0.2">
      <c r="A105" s="19"/>
      <c r="B105" s="52"/>
      <c r="C105" s="53"/>
      <c r="D105" s="52"/>
      <c r="E105" s="54"/>
      <c r="F105" s="54"/>
      <c r="G105" s="54"/>
      <c r="H105" s="19"/>
      <c r="I105" s="19"/>
      <c r="J105" s="19"/>
      <c r="K105" s="19"/>
      <c r="L105" s="19"/>
      <c r="M105" s="19"/>
    </row>
    <row r="106" spans="1:13" x14ac:dyDescent="0.2">
      <c r="A106" s="19"/>
      <c r="B106" s="52"/>
      <c r="C106" s="53"/>
      <c r="D106" s="52"/>
      <c r="E106" s="54"/>
      <c r="F106" s="54"/>
      <c r="G106" s="54"/>
      <c r="H106" s="19"/>
      <c r="I106" s="19"/>
      <c r="J106" s="19"/>
      <c r="K106" s="19"/>
      <c r="L106" s="19"/>
      <c r="M106" s="19"/>
    </row>
    <row r="107" spans="1:13" x14ac:dyDescent="0.2">
      <c r="A107" s="19"/>
      <c r="B107" s="52"/>
      <c r="C107" s="53"/>
      <c r="D107" s="52"/>
      <c r="E107" s="54"/>
      <c r="F107" s="54"/>
      <c r="G107" s="54"/>
      <c r="H107" s="19"/>
      <c r="I107" s="19"/>
      <c r="J107" s="19"/>
      <c r="K107" s="19"/>
      <c r="L107" s="19"/>
      <c r="M107" s="19"/>
    </row>
    <row r="108" spans="1:13" x14ac:dyDescent="0.2">
      <c r="A108" s="19"/>
      <c r="B108" s="52"/>
      <c r="C108" s="53"/>
      <c r="D108" s="52"/>
      <c r="E108" s="54"/>
      <c r="F108" s="54"/>
      <c r="G108" s="54"/>
      <c r="H108" s="19"/>
      <c r="I108" s="19"/>
      <c r="J108" s="19"/>
      <c r="K108" s="19"/>
      <c r="L108" s="19"/>
      <c r="M108" s="19"/>
    </row>
    <row r="109" spans="1:13" x14ac:dyDescent="0.2">
      <c r="A109" s="19"/>
      <c r="B109" s="52"/>
      <c r="C109" s="53"/>
      <c r="D109" s="52"/>
      <c r="E109" s="54"/>
      <c r="F109" s="54"/>
      <c r="G109" s="54"/>
      <c r="H109" s="19"/>
      <c r="I109" s="19"/>
      <c r="J109" s="19"/>
      <c r="K109" s="19"/>
      <c r="L109" s="19"/>
      <c r="M109" s="19"/>
    </row>
    <row r="110" spans="1:13" x14ac:dyDescent="0.2">
      <c r="A110" s="19"/>
      <c r="B110" s="52"/>
      <c r="C110" s="53"/>
      <c r="D110" s="52"/>
      <c r="E110" s="54"/>
      <c r="F110" s="54"/>
      <c r="G110" s="54"/>
      <c r="H110" s="19"/>
      <c r="I110" s="19"/>
      <c r="J110" s="19"/>
      <c r="K110" s="19"/>
      <c r="L110" s="19"/>
      <c r="M110" s="19"/>
    </row>
    <row r="111" spans="1:13" x14ac:dyDescent="0.2">
      <c r="A111" s="19"/>
      <c r="B111" s="52"/>
      <c r="C111" s="53"/>
      <c r="D111" s="52"/>
      <c r="E111" s="54"/>
      <c r="F111" s="54"/>
      <c r="G111" s="54"/>
      <c r="H111" s="19"/>
      <c r="I111" s="19"/>
      <c r="J111" s="19"/>
      <c r="K111" s="19"/>
      <c r="L111" s="19"/>
      <c r="M111" s="19"/>
    </row>
    <row r="112" spans="1:13" x14ac:dyDescent="0.2">
      <c r="A112" s="19"/>
      <c r="B112" s="52"/>
      <c r="C112" s="53"/>
      <c r="D112" s="52"/>
      <c r="E112" s="54"/>
      <c r="F112" s="54"/>
      <c r="G112" s="54"/>
      <c r="H112" s="19"/>
      <c r="I112" s="19"/>
      <c r="J112" s="19"/>
      <c r="K112" s="19"/>
      <c r="L112" s="19"/>
      <c r="M112" s="19"/>
    </row>
    <row r="113" spans="1:13" x14ac:dyDescent="0.2">
      <c r="A113" s="19"/>
      <c r="B113" s="52"/>
      <c r="C113" s="53"/>
      <c r="D113" s="52"/>
      <c r="E113" s="54"/>
      <c r="F113" s="54"/>
      <c r="G113" s="54"/>
      <c r="H113" s="19"/>
      <c r="I113" s="19"/>
      <c r="J113" s="19"/>
      <c r="K113" s="19"/>
      <c r="L113" s="19"/>
      <c r="M113" s="19"/>
    </row>
    <row r="114" spans="1:13" x14ac:dyDescent="0.2">
      <c r="A114" s="19"/>
      <c r="B114" s="52"/>
      <c r="C114" s="53"/>
      <c r="D114" s="52"/>
      <c r="E114" s="54"/>
      <c r="F114" s="54"/>
      <c r="G114" s="54"/>
      <c r="H114" s="19"/>
      <c r="I114" s="19"/>
      <c r="J114" s="19"/>
      <c r="K114" s="19"/>
      <c r="L114" s="19"/>
      <c r="M114" s="19"/>
    </row>
    <row r="115" spans="1:13" x14ac:dyDescent="0.2">
      <c r="A115" s="19"/>
      <c r="B115" s="52"/>
      <c r="C115" s="53"/>
      <c r="D115" s="52"/>
      <c r="E115" s="54"/>
      <c r="F115" s="54"/>
      <c r="G115" s="54"/>
      <c r="H115" s="19"/>
      <c r="I115" s="19"/>
      <c r="J115" s="19"/>
      <c r="K115" s="19"/>
      <c r="L115" s="19"/>
      <c r="M115" s="19"/>
    </row>
    <row r="116" spans="1:13" x14ac:dyDescent="0.2">
      <c r="A116" s="19"/>
      <c r="B116" s="52"/>
      <c r="C116" s="53"/>
      <c r="D116" s="52"/>
      <c r="E116" s="54"/>
      <c r="F116" s="54"/>
      <c r="G116" s="54"/>
      <c r="H116" s="19"/>
      <c r="I116" s="19"/>
      <c r="J116" s="19"/>
      <c r="K116" s="19"/>
      <c r="L116" s="19"/>
      <c r="M116" s="19"/>
    </row>
    <row r="117" spans="1:13" x14ac:dyDescent="0.2">
      <c r="A117" s="19"/>
      <c r="B117" s="52"/>
      <c r="C117" s="53"/>
      <c r="D117" s="52"/>
      <c r="E117" s="54"/>
      <c r="F117" s="54"/>
      <c r="G117" s="54"/>
      <c r="H117" s="19"/>
      <c r="I117" s="19"/>
      <c r="J117" s="19"/>
      <c r="K117" s="19"/>
      <c r="L117" s="19"/>
      <c r="M117" s="19"/>
    </row>
    <row r="118" spans="1:13" x14ac:dyDescent="0.2">
      <c r="A118" s="19"/>
      <c r="B118" s="52"/>
      <c r="C118" s="53"/>
      <c r="D118" s="52"/>
      <c r="E118" s="54"/>
      <c r="F118" s="54"/>
      <c r="G118" s="54"/>
      <c r="H118" s="19"/>
      <c r="I118" s="19"/>
      <c r="J118" s="19"/>
      <c r="K118" s="19"/>
      <c r="L118" s="19"/>
      <c r="M118" s="19"/>
    </row>
    <row r="119" spans="1:13" x14ac:dyDescent="0.2">
      <c r="A119" s="19"/>
      <c r="B119" s="52"/>
      <c r="C119" s="53"/>
      <c r="D119" s="52"/>
      <c r="E119" s="54"/>
      <c r="F119" s="54"/>
      <c r="G119" s="54"/>
      <c r="H119" s="19"/>
      <c r="I119" s="19"/>
      <c r="J119" s="19"/>
      <c r="K119" s="19"/>
      <c r="L119" s="19"/>
      <c r="M119" s="19"/>
    </row>
    <row r="120" spans="1:13" x14ac:dyDescent="0.2">
      <c r="A120" s="19"/>
      <c r="B120" s="52"/>
      <c r="C120" s="53"/>
      <c r="D120" s="52"/>
      <c r="E120" s="54"/>
      <c r="F120" s="54"/>
      <c r="G120" s="54"/>
      <c r="H120" s="19"/>
      <c r="I120" s="19"/>
      <c r="J120" s="19"/>
      <c r="K120" s="19"/>
      <c r="L120" s="19"/>
      <c r="M120" s="19"/>
    </row>
    <row r="121" spans="1:13" x14ac:dyDescent="0.2">
      <c r="A121" s="19"/>
      <c r="B121" s="52"/>
      <c r="C121" s="53"/>
      <c r="D121" s="52"/>
      <c r="E121" s="54"/>
      <c r="F121" s="54"/>
      <c r="G121" s="54"/>
      <c r="H121" s="19"/>
      <c r="I121" s="19"/>
      <c r="J121" s="19"/>
      <c r="K121" s="19"/>
      <c r="L121" s="19"/>
      <c r="M121" s="19"/>
    </row>
    <row r="122" spans="1:13" x14ac:dyDescent="0.2">
      <c r="A122" s="19"/>
      <c r="B122" s="52"/>
      <c r="C122" s="53"/>
      <c r="D122" s="52"/>
      <c r="E122" s="54"/>
      <c r="F122" s="54"/>
      <c r="G122" s="54"/>
      <c r="H122" s="19"/>
      <c r="I122" s="19"/>
      <c r="J122" s="19"/>
      <c r="K122" s="19"/>
      <c r="L122" s="19"/>
      <c r="M122" s="19"/>
    </row>
    <row r="123" spans="1:13" x14ac:dyDescent="0.2">
      <c r="A123" s="19"/>
      <c r="B123" s="52"/>
      <c r="C123" s="53"/>
      <c r="D123" s="52"/>
      <c r="E123" s="54"/>
      <c r="F123" s="54"/>
      <c r="G123" s="54"/>
      <c r="H123" s="19"/>
      <c r="I123" s="19"/>
      <c r="J123" s="19"/>
      <c r="K123" s="19"/>
      <c r="L123" s="19"/>
      <c r="M123" s="19"/>
    </row>
    <row r="124" spans="1:13" x14ac:dyDescent="0.2">
      <c r="A124" s="19"/>
      <c r="B124" s="52"/>
      <c r="C124" s="53"/>
      <c r="D124" s="52"/>
      <c r="E124" s="54"/>
      <c r="F124" s="54"/>
      <c r="G124" s="54"/>
      <c r="H124" s="19"/>
      <c r="I124" s="19"/>
      <c r="J124" s="19"/>
      <c r="K124" s="19"/>
      <c r="L124" s="19"/>
      <c r="M124" s="19"/>
    </row>
    <row r="125" spans="1:13" x14ac:dyDescent="0.2">
      <c r="A125" s="19"/>
      <c r="B125" s="52"/>
      <c r="C125" s="53"/>
      <c r="D125" s="52"/>
      <c r="E125" s="54"/>
      <c r="F125" s="54"/>
      <c r="G125" s="54"/>
      <c r="H125" s="19"/>
      <c r="I125" s="19"/>
      <c r="J125" s="19"/>
      <c r="K125" s="19"/>
      <c r="L125" s="19"/>
      <c r="M125" s="19"/>
    </row>
    <row r="126" spans="1:13" x14ac:dyDescent="0.2">
      <c r="A126" s="19"/>
      <c r="B126" s="52"/>
      <c r="C126" s="53"/>
      <c r="D126" s="52"/>
      <c r="E126" s="54"/>
      <c r="F126" s="54"/>
      <c r="G126" s="54"/>
      <c r="H126" s="19"/>
      <c r="I126" s="19"/>
      <c r="J126" s="19"/>
      <c r="K126" s="19"/>
      <c r="L126" s="19"/>
      <c r="M126" s="19"/>
    </row>
    <row r="127" spans="1:13" x14ac:dyDescent="0.2">
      <c r="A127" s="19"/>
      <c r="B127" s="52"/>
      <c r="C127" s="53"/>
      <c r="D127" s="52"/>
      <c r="E127" s="54"/>
      <c r="F127" s="54"/>
      <c r="G127" s="54"/>
      <c r="H127" s="19"/>
      <c r="I127" s="19"/>
      <c r="J127" s="19"/>
      <c r="K127" s="19"/>
      <c r="L127" s="19"/>
      <c r="M127" s="19"/>
    </row>
    <row r="128" spans="1:13" x14ac:dyDescent="0.2">
      <c r="A128" s="19"/>
      <c r="B128" s="52"/>
      <c r="C128" s="53"/>
      <c r="D128" s="52"/>
      <c r="E128" s="54"/>
      <c r="F128" s="54"/>
      <c r="G128" s="54"/>
      <c r="H128" s="19"/>
      <c r="I128" s="19"/>
      <c r="J128" s="19"/>
      <c r="K128" s="19"/>
      <c r="L128" s="19"/>
      <c r="M128" s="19"/>
    </row>
    <row r="129" spans="1:13" x14ac:dyDescent="0.2">
      <c r="A129" s="19"/>
      <c r="B129" s="52"/>
      <c r="C129" s="53"/>
      <c r="D129" s="52"/>
      <c r="E129" s="54"/>
      <c r="F129" s="54"/>
      <c r="G129" s="54"/>
      <c r="H129" s="19"/>
      <c r="I129" s="19"/>
      <c r="J129" s="19"/>
      <c r="K129" s="19"/>
      <c r="L129" s="19"/>
      <c r="M129" s="19"/>
    </row>
    <row r="130" spans="1:13" x14ac:dyDescent="0.2">
      <c r="A130" s="19"/>
      <c r="B130" s="52"/>
      <c r="C130" s="53"/>
      <c r="D130" s="52"/>
      <c r="E130" s="54"/>
      <c r="F130" s="54"/>
      <c r="G130" s="54"/>
      <c r="H130" s="19"/>
      <c r="I130" s="19"/>
      <c r="J130" s="19"/>
      <c r="K130" s="19"/>
      <c r="L130" s="19"/>
      <c r="M130" s="19"/>
    </row>
    <row r="131" spans="1:13" x14ac:dyDescent="0.2">
      <c r="A131" s="19"/>
      <c r="B131" s="52"/>
      <c r="C131" s="53"/>
      <c r="D131" s="52"/>
      <c r="E131" s="54"/>
      <c r="F131" s="54"/>
      <c r="G131" s="54"/>
      <c r="H131" s="19"/>
      <c r="I131" s="19"/>
      <c r="J131" s="19"/>
      <c r="K131" s="19"/>
      <c r="L131" s="19"/>
      <c r="M131" s="19"/>
    </row>
    <row r="132" spans="1:13" x14ac:dyDescent="0.2">
      <c r="A132" s="19"/>
      <c r="B132" s="52"/>
      <c r="C132" s="53"/>
      <c r="D132" s="52"/>
      <c r="E132" s="54"/>
      <c r="F132" s="54"/>
      <c r="G132" s="54"/>
      <c r="H132" s="19"/>
      <c r="I132" s="19"/>
      <c r="J132" s="19"/>
      <c r="K132" s="19"/>
      <c r="L132" s="19"/>
      <c r="M132" s="19"/>
    </row>
    <row r="133" spans="1:13" x14ac:dyDescent="0.2">
      <c r="A133" s="19"/>
      <c r="B133" s="52"/>
      <c r="C133" s="53"/>
      <c r="D133" s="52"/>
      <c r="E133" s="54"/>
      <c r="F133" s="54"/>
      <c r="G133" s="54"/>
      <c r="H133" s="19"/>
      <c r="I133" s="19"/>
      <c r="J133" s="19"/>
      <c r="K133" s="19"/>
      <c r="L133" s="19"/>
      <c r="M133" s="19"/>
    </row>
    <row r="134" spans="1:13" x14ac:dyDescent="0.2">
      <c r="A134" s="19"/>
      <c r="B134" s="52"/>
      <c r="C134" s="53"/>
      <c r="D134" s="52"/>
      <c r="E134" s="54"/>
      <c r="F134" s="54"/>
      <c r="G134" s="54"/>
      <c r="H134" s="19"/>
      <c r="I134" s="19"/>
      <c r="J134" s="19"/>
      <c r="K134" s="19"/>
      <c r="L134" s="19"/>
      <c r="M134" s="19"/>
    </row>
    <row r="135" spans="1:13" x14ac:dyDescent="0.2">
      <c r="A135" s="19"/>
      <c r="B135" s="52"/>
      <c r="C135" s="53"/>
      <c r="D135" s="52"/>
      <c r="E135" s="54"/>
      <c r="F135" s="54"/>
      <c r="G135" s="54"/>
      <c r="H135" s="19"/>
      <c r="I135" s="19"/>
      <c r="J135" s="19"/>
      <c r="K135" s="19"/>
      <c r="L135" s="19"/>
      <c r="M135" s="19"/>
    </row>
    <row r="136" spans="1:13" x14ac:dyDescent="0.2">
      <c r="A136" s="19"/>
      <c r="B136" s="52"/>
      <c r="C136" s="53"/>
      <c r="D136" s="52"/>
      <c r="E136" s="54"/>
      <c r="F136" s="54"/>
      <c r="G136" s="54"/>
      <c r="H136" s="19"/>
      <c r="I136" s="19"/>
      <c r="J136" s="19"/>
      <c r="K136" s="19"/>
      <c r="L136" s="19"/>
      <c r="M136" s="19"/>
    </row>
    <row r="137" spans="1:13" x14ac:dyDescent="0.2">
      <c r="A137" s="19"/>
      <c r="B137" s="52"/>
      <c r="C137" s="53"/>
      <c r="D137" s="52"/>
      <c r="E137" s="54"/>
      <c r="F137" s="54"/>
      <c r="G137" s="54"/>
      <c r="H137" s="19"/>
      <c r="I137" s="19"/>
      <c r="J137" s="19"/>
      <c r="K137" s="19"/>
      <c r="L137" s="19"/>
      <c r="M137" s="19"/>
    </row>
    <row r="138" spans="1:13" x14ac:dyDescent="0.2">
      <c r="A138" s="19"/>
      <c r="B138" s="52"/>
      <c r="C138" s="53"/>
      <c r="D138" s="52"/>
      <c r="E138" s="54"/>
      <c r="F138" s="54"/>
      <c r="G138" s="54"/>
      <c r="H138" s="19"/>
      <c r="I138" s="19"/>
      <c r="J138" s="19"/>
      <c r="K138" s="19"/>
      <c r="L138" s="19"/>
      <c r="M138" s="19"/>
    </row>
    <row r="139" spans="1:13" x14ac:dyDescent="0.2">
      <c r="A139" s="19"/>
      <c r="B139" s="52"/>
      <c r="C139" s="53"/>
      <c r="D139" s="52"/>
      <c r="E139" s="54"/>
      <c r="F139" s="54"/>
      <c r="G139" s="54"/>
      <c r="H139" s="19"/>
      <c r="I139" s="19"/>
      <c r="J139" s="19"/>
      <c r="K139" s="19"/>
      <c r="L139" s="19"/>
      <c r="M139" s="19"/>
    </row>
    <row r="140" spans="1:13" x14ac:dyDescent="0.2">
      <c r="A140" s="19"/>
      <c r="B140" s="52"/>
      <c r="C140" s="53"/>
      <c r="D140" s="52"/>
      <c r="E140" s="54"/>
      <c r="F140" s="54"/>
      <c r="G140" s="54"/>
      <c r="H140" s="19"/>
      <c r="I140" s="19"/>
      <c r="J140" s="19"/>
      <c r="K140" s="19"/>
      <c r="L140" s="19"/>
      <c r="M140" s="19"/>
    </row>
    <row r="141" spans="1:13" x14ac:dyDescent="0.2">
      <c r="A141" s="19"/>
      <c r="B141" s="52"/>
      <c r="C141" s="53"/>
      <c r="D141" s="52"/>
      <c r="E141" s="54"/>
      <c r="F141" s="54"/>
      <c r="G141" s="54"/>
      <c r="H141" s="19"/>
      <c r="I141" s="19"/>
      <c r="J141" s="19"/>
      <c r="K141" s="19"/>
      <c r="L141" s="19"/>
      <c r="M141" s="19"/>
    </row>
    <row r="142" spans="1:13" x14ac:dyDescent="0.2">
      <c r="A142" s="19"/>
      <c r="B142" s="52"/>
      <c r="C142" s="53"/>
      <c r="D142" s="52"/>
      <c r="E142" s="54"/>
      <c r="F142" s="54"/>
      <c r="G142" s="54"/>
      <c r="H142" s="19"/>
      <c r="I142" s="19"/>
      <c r="J142" s="19"/>
      <c r="K142" s="19"/>
      <c r="L142" s="19"/>
      <c r="M142" s="19"/>
    </row>
    <row r="143" spans="1:13" x14ac:dyDescent="0.2">
      <c r="A143" s="19"/>
      <c r="B143" s="52"/>
      <c r="C143" s="53"/>
      <c r="D143" s="52"/>
      <c r="E143" s="54"/>
      <c r="F143" s="54"/>
      <c r="G143" s="54"/>
      <c r="H143" s="19"/>
      <c r="I143" s="19"/>
      <c r="J143" s="19"/>
      <c r="K143" s="19"/>
      <c r="L143" s="19"/>
      <c r="M143" s="19"/>
    </row>
    <row r="144" spans="1:13" x14ac:dyDescent="0.2">
      <c r="A144" s="19"/>
      <c r="B144" s="52"/>
      <c r="C144" s="53"/>
      <c r="D144" s="52"/>
      <c r="E144" s="54"/>
      <c r="F144" s="54"/>
      <c r="G144" s="54"/>
      <c r="H144" s="19"/>
      <c r="I144" s="19"/>
      <c r="J144" s="19"/>
      <c r="K144" s="19"/>
      <c r="L144" s="19"/>
      <c r="M144" s="19"/>
    </row>
    <row r="145" spans="1:13" x14ac:dyDescent="0.2">
      <c r="A145" s="19"/>
      <c r="B145" s="52"/>
      <c r="C145" s="53"/>
      <c r="D145" s="52"/>
      <c r="E145" s="54"/>
      <c r="F145" s="54"/>
      <c r="G145" s="54"/>
      <c r="H145" s="19"/>
      <c r="I145" s="19"/>
      <c r="J145" s="19"/>
      <c r="K145" s="19"/>
      <c r="L145" s="19"/>
      <c r="M145" s="19"/>
    </row>
    <row r="146" spans="1:13" x14ac:dyDescent="0.2">
      <c r="A146" s="19"/>
      <c r="B146" s="52"/>
      <c r="C146" s="53"/>
      <c r="D146" s="52"/>
      <c r="E146" s="54"/>
      <c r="F146" s="54"/>
      <c r="G146" s="54"/>
      <c r="H146" s="19"/>
      <c r="I146" s="19"/>
      <c r="J146" s="19"/>
      <c r="K146" s="19"/>
      <c r="L146" s="19"/>
      <c r="M146" s="19"/>
    </row>
    <row r="147" spans="1:13" x14ac:dyDescent="0.2">
      <c r="A147" s="19"/>
      <c r="B147" s="52"/>
      <c r="C147" s="53"/>
      <c r="D147" s="52"/>
      <c r="E147" s="54"/>
      <c r="F147" s="54"/>
      <c r="G147" s="54"/>
      <c r="H147" s="19"/>
      <c r="I147" s="19"/>
      <c r="J147" s="19"/>
      <c r="K147" s="19"/>
      <c r="L147" s="19"/>
      <c r="M147" s="19"/>
    </row>
    <row r="148" spans="1:13" x14ac:dyDescent="0.2">
      <c r="A148" s="19"/>
      <c r="B148" s="52"/>
      <c r="C148" s="53"/>
      <c r="D148" s="52"/>
      <c r="E148" s="54"/>
      <c r="F148" s="54"/>
      <c r="G148" s="54"/>
      <c r="H148" s="19"/>
      <c r="I148" s="19"/>
      <c r="J148" s="19"/>
      <c r="K148" s="19"/>
      <c r="L148" s="19"/>
      <c r="M148" s="19"/>
    </row>
    <row r="149" spans="1:13" x14ac:dyDescent="0.2">
      <c r="A149" s="19"/>
      <c r="B149" s="52"/>
      <c r="C149" s="53"/>
      <c r="D149" s="52"/>
      <c r="E149" s="54"/>
      <c r="F149" s="54"/>
      <c r="G149" s="54"/>
      <c r="H149" s="19"/>
      <c r="I149" s="19"/>
      <c r="J149" s="19"/>
      <c r="K149" s="19"/>
      <c r="L149" s="19"/>
      <c r="M149" s="19"/>
    </row>
    <row r="150" spans="1:13" x14ac:dyDescent="0.2">
      <c r="A150" s="19"/>
      <c r="B150" s="52"/>
      <c r="C150" s="53"/>
      <c r="D150" s="52"/>
      <c r="E150" s="54"/>
      <c r="F150" s="54"/>
      <c r="G150" s="54"/>
      <c r="H150" s="19"/>
      <c r="I150" s="19"/>
      <c r="J150" s="19"/>
      <c r="K150" s="19"/>
      <c r="L150" s="19"/>
      <c r="M150" s="19"/>
    </row>
    <row r="151" spans="1:13" x14ac:dyDescent="0.2">
      <c r="A151" s="19"/>
      <c r="B151" s="52"/>
      <c r="C151" s="53"/>
      <c r="D151" s="52"/>
      <c r="E151" s="54"/>
      <c r="F151" s="54"/>
      <c r="G151" s="54"/>
      <c r="H151" s="19"/>
      <c r="I151" s="19"/>
      <c r="J151" s="19"/>
      <c r="K151" s="19"/>
      <c r="L151" s="19"/>
      <c r="M151" s="19"/>
    </row>
    <row r="152" spans="1:13" x14ac:dyDescent="0.2">
      <c r="A152" s="19"/>
      <c r="B152" s="52"/>
      <c r="C152" s="53"/>
      <c r="D152" s="52"/>
      <c r="E152" s="54"/>
      <c r="F152" s="54"/>
      <c r="G152" s="54"/>
      <c r="H152" s="19"/>
      <c r="I152" s="19"/>
      <c r="J152" s="19"/>
      <c r="K152" s="19"/>
      <c r="L152" s="19"/>
      <c r="M152" s="19"/>
    </row>
    <row r="153" spans="1:13" x14ac:dyDescent="0.2">
      <c r="A153" s="19"/>
      <c r="B153" s="52"/>
      <c r="C153" s="53"/>
      <c r="D153" s="52"/>
      <c r="E153" s="54"/>
      <c r="F153" s="54"/>
      <c r="G153" s="54"/>
      <c r="H153" s="19"/>
      <c r="I153" s="19"/>
      <c r="J153" s="19"/>
      <c r="K153" s="19"/>
      <c r="L153" s="19"/>
      <c r="M153" s="19"/>
    </row>
    <row r="154" spans="1:13" x14ac:dyDescent="0.2">
      <c r="A154" s="19"/>
      <c r="B154" s="52"/>
      <c r="C154" s="53"/>
      <c r="D154" s="52"/>
      <c r="E154" s="54"/>
      <c r="F154" s="54"/>
      <c r="G154" s="54"/>
      <c r="H154" s="19"/>
      <c r="I154" s="19"/>
      <c r="J154" s="19"/>
      <c r="K154" s="19"/>
      <c r="L154" s="19"/>
      <c r="M154" s="19"/>
    </row>
    <row r="155" spans="1:13" x14ac:dyDescent="0.2">
      <c r="A155" s="19"/>
      <c r="B155" s="52"/>
      <c r="C155" s="53"/>
      <c r="D155" s="52"/>
      <c r="E155" s="54"/>
      <c r="F155" s="54"/>
      <c r="G155" s="54"/>
      <c r="H155" s="19"/>
      <c r="I155" s="19"/>
      <c r="J155" s="19"/>
      <c r="K155" s="19"/>
      <c r="L155" s="19"/>
      <c r="M155" s="19"/>
    </row>
    <row r="156" spans="1:13" x14ac:dyDescent="0.2">
      <c r="A156" s="19"/>
      <c r="B156" s="52"/>
      <c r="C156" s="53"/>
      <c r="D156" s="52"/>
      <c r="E156" s="54"/>
      <c r="F156" s="54"/>
      <c r="G156" s="54"/>
      <c r="H156" s="19"/>
      <c r="I156" s="19"/>
      <c r="J156" s="19"/>
      <c r="K156" s="19"/>
      <c r="L156" s="19"/>
      <c r="M156" s="19"/>
    </row>
    <row r="157" spans="1:13" x14ac:dyDescent="0.2">
      <c r="A157" s="19"/>
      <c r="B157" s="52"/>
      <c r="C157" s="53"/>
      <c r="D157" s="52"/>
      <c r="E157" s="54"/>
      <c r="F157" s="54"/>
      <c r="G157" s="54"/>
      <c r="H157" s="19"/>
      <c r="I157" s="19"/>
      <c r="J157" s="19"/>
      <c r="K157" s="19"/>
      <c r="L157" s="19"/>
      <c r="M157" s="19"/>
    </row>
    <row r="158" spans="1:13" x14ac:dyDescent="0.2">
      <c r="A158" s="19"/>
      <c r="B158" s="52"/>
      <c r="C158" s="53"/>
      <c r="D158" s="52"/>
      <c r="E158" s="54"/>
      <c r="F158" s="54"/>
      <c r="G158" s="54"/>
      <c r="H158" s="19"/>
      <c r="I158" s="19"/>
      <c r="J158" s="19"/>
      <c r="K158" s="19"/>
      <c r="L158" s="19"/>
      <c r="M158" s="19"/>
    </row>
    <row r="159" spans="1:13" x14ac:dyDescent="0.2">
      <c r="A159" s="19"/>
      <c r="B159" s="52"/>
      <c r="C159" s="53"/>
      <c r="D159" s="52"/>
      <c r="E159" s="54"/>
      <c r="F159" s="54"/>
      <c r="G159" s="54"/>
      <c r="H159" s="19"/>
      <c r="I159" s="19"/>
      <c r="J159" s="19"/>
      <c r="K159" s="19"/>
      <c r="L159" s="19"/>
      <c r="M159" s="19"/>
    </row>
    <row r="160" spans="1:13" x14ac:dyDescent="0.2">
      <c r="A160" s="19"/>
      <c r="B160" s="52"/>
      <c r="C160" s="53"/>
      <c r="D160" s="52"/>
      <c r="E160" s="54"/>
      <c r="F160" s="54"/>
      <c r="G160" s="54"/>
      <c r="H160" s="19"/>
      <c r="I160" s="19"/>
      <c r="J160" s="19"/>
      <c r="K160" s="19"/>
      <c r="L160" s="19"/>
      <c r="M160" s="19"/>
    </row>
    <row r="161" spans="1:13" x14ac:dyDescent="0.2">
      <c r="A161" s="19"/>
      <c r="B161" s="52"/>
      <c r="C161" s="53"/>
      <c r="D161" s="52"/>
      <c r="E161" s="54"/>
      <c r="F161" s="54"/>
      <c r="G161" s="54"/>
      <c r="H161" s="19"/>
      <c r="I161" s="19"/>
      <c r="J161" s="19"/>
      <c r="K161" s="19"/>
      <c r="L161" s="19"/>
      <c r="M161" s="19"/>
    </row>
    <row r="162" spans="1:13" x14ac:dyDescent="0.2">
      <c r="A162" s="19"/>
      <c r="B162" s="52"/>
      <c r="C162" s="53"/>
      <c r="D162" s="52"/>
      <c r="E162" s="54"/>
      <c r="F162" s="54"/>
      <c r="G162" s="54"/>
      <c r="H162" s="19"/>
      <c r="I162" s="19"/>
      <c r="J162" s="19"/>
      <c r="K162" s="19"/>
      <c r="L162" s="19"/>
      <c r="M162" s="19"/>
    </row>
    <row r="163" spans="1:13" x14ac:dyDescent="0.2">
      <c r="A163" s="19"/>
      <c r="B163" s="52"/>
      <c r="C163" s="53"/>
      <c r="D163" s="52"/>
      <c r="E163" s="54"/>
      <c r="F163" s="54"/>
      <c r="G163" s="54"/>
      <c r="H163" s="19"/>
      <c r="I163" s="19"/>
      <c r="J163" s="19"/>
      <c r="K163" s="19"/>
      <c r="L163" s="19"/>
      <c r="M163" s="19"/>
    </row>
    <row r="164" spans="1:13" x14ac:dyDescent="0.2">
      <c r="A164" s="19"/>
      <c r="B164" s="52"/>
      <c r="C164" s="53"/>
      <c r="D164" s="52"/>
      <c r="E164" s="54"/>
      <c r="F164" s="54"/>
      <c r="G164" s="54"/>
      <c r="H164" s="19"/>
      <c r="I164" s="19"/>
      <c r="J164" s="19"/>
      <c r="K164" s="19"/>
      <c r="L164" s="19"/>
      <c r="M164" s="19"/>
    </row>
    <row r="165" spans="1:13" x14ac:dyDescent="0.2">
      <c r="A165" s="19"/>
      <c r="B165" s="52"/>
      <c r="C165" s="53"/>
      <c r="D165" s="52"/>
      <c r="E165" s="54"/>
      <c r="F165" s="54"/>
      <c r="G165" s="54"/>
      <c r="H165" s="19"/>
      <c r="I165" s="19"/>
      <c r="J165" s="19"/>
      <c r="K165" s="19"/>
      <c r="L165" s="19"/>
      <c r="M165" s="19"/>
    </row>
    <row r="166" spans="1:13" x14ac:dyDescent="0.2">
      <c r="A166" s="19"/>
      <c r="B166" s="52"/>
      <c r="C166" s="53"/>
      <c r="D166" s="52"/>
      <c r="E166" s="54"/>
      <c r="F166" s="54"/>
      <c r="G166" s="54"/>
      <c r="H166" s="19"/>
      <c r="I166" s="19"/>
      <c r="J166" s="19"/>
      <c r="K166" s="19"/>
      <c r="L166" s="19"/>
      <c r="M166" s="19"/>
    </row>
    <row r="167" spans="1:13" x14ac:dyDescent="0.2">
      <c r="A167" s="19"/>
      <c r="B167" s="52"/>
      <c r="C167" s="53"/>
      <c r="D167" s="52"/>
      <c r="E167" s="54"/>
      <c r="F167" s="54"/>
      <c r="G167" s="54"/>
      <c r="H167" s="19"/>
      <c r="I167" s="19"/>
      <c r="J167" s="19"/>
      <c r="K167" s="19"/>
      <c r="L167" s="19"/>
      <c r="M167" s="19"/>
    </row>
    <row r="168" spans="1:13" x14ac:dyDescent="0.2">
      <c r="A168" s="19"/>
      <c r="B168" s="52"/>
      <c r="C168" s="53"/>
      <c r="D168" s="52"/>
      <c r="E168" s="54"/>
      <c r="F168" s="54"/>
      <c r="G168" s="54"/>
      <c r="H168" s="19"/>
      <c r="I168" s="19"/>
      <c r="J168" s="19"/>
      <c r="K168" s="19"/>
      <c r="L168" s="19"/>
      <c r="M168" s="19"/>
    </row>
    <row r="169" spans="1:13" x14ac:dyDescent="0.2">
      <c r="A169" s="19"/>
      <c r="B169" s="52"/>
      <c r="C169" s="53"/>
      <c r="D169" s="52"/>
      <c r="E169" s="54"/>
      <c r="F169" s="54"/>
      <c r="G169" s="54"/>
      <c r="H169" s="19"/>
      <c r="I169" s="19"/>
      <c r="J169" s="19"/>
      <c r="K169" s="19"/>
      <c r="L169" s="19"/>
      <c r="M169" s="19"/>
    </row>
    <row r="170" spans="1:13" x14ac:dyDescent="0.2">
      <c r="A170" s="19"/>
      <c r="B170" s="52"/>
      <c r="C170" s="53"/>
      <c r="D170" s="52"/>
      <c r="E170" s="54"/>
      <c r="F170" s="54"/>
      <c r="G170" s="54"/>
      <c r="H170" s="19"/>
      <c r="I170" s="19"/>
      <c r="J170" s="19"/>
      <c r="K170" s="19"/>
      <c r="L170" s="19"/>
      <c r="M170" s="19"/>
    </row>
    <row r="171" spans="1:13" x14ac:dyDescent="0.2">
      <c r="A171" s="19"/>
      <c r="B171" s="52"/>
      <c r="C171" s="53"/>
      <c r="D171" s="52"/>
      <c r="E171" s="54"/>
      <c r="F171" s="54"/>
      <c r="G171" s="54"/>
      <c r="H171" s="19"/>
      <c r="I171" s="19"/>
      <c r="J171" s="19"/>
      <c r="K171" s="19"/>
      <c r="L171" s="19"/>
      <c r="M171" s="19"/>
    </row>
    <row r="172" spans="1:13" x14ac:dyDescent="0.2">
      <c r="A172" s="19"/>
      <c r="B172" s="52"/>
      <c r="C172" s="53"/>
      <c r="D172" s="52"/>
      <c r="E172" s="54"/>
      <c r="F172" s="54"/>
      <c r="G172" s="54"/>
      <c r="H172" s="19"/>
      <c r="I172" s="19"/>
      <c r="J172" s="19"/>
      <c r="K172" s="19"/>
      <c r="L172" s="19"/>
      <c r="M172" s="19"/>
    </row>
    <row r="173" spans="1:13" x14ac:dyDescent="0.2">
      <c r="A173" s="19"/>
      <c r="B173" s="52"/>
      <c r="C173" s="53"/>
      <c r="D173" s="52"/>
      <c r="E173" s="54"/>
      <c r="F173" s="54"/>
      <c r="G173" s="54"/>
      <c r="H173" s="19"/>
      <c r="I173" s="19"/>
      <c r="J173" s="19"/>
      <c r="K173" s="19"/>
      <c r="L173" s="19"/>
      <c r="M173" s="19"/>
    </row>
    <row r="174" spans="1:13" x14ac:dyDescent="0.2">
      <c r="A174" s="19"/>
      <c r="B174" s="52"/>
      <c r="C174" s="53"/>
      <c r="D174" s="52"/>
      <c r="E174" s="54"/>
      <c r="F174" s="54"/>
      <c r="G174" s="54"/>
      <c r="H174" s="19"/>
      <c r="I174" s="19"/>
      <c r="J174" s="19"/>
      <c r="K174" s="19"/>
      <c r="L174" s="19"/>
      <c r="M174" s="19"/>
    </row>
    <row r="175" spans="1:13" x14ac:dyDescent="0.2">
      <c r="A175" s="19"/>
      <c r="B175" s="52"/>
      <c r="C175" s="53"/>
      <c r="D175" s="52"/>
      <c r="E175" s="54"/>
      <c r="F175" s="54"/>
      <c r="G175" s="54"/>
      <c r="H175" s="19"/>
      <c r="I175" s="19"/>
      <c r="J175" s="19"/>
      <c r="K175" s="19"/>
      <c r="L175" s="19"/>
      <c r="M175" s="19"/>
    </row>
    <row r="176" spans="1:13" x14ac:dyDescent="0.2">
      <c r="A176" s="19"/>
      <c r="B176" s="52"/>
      <c r="C176" s="53"/>
      <c r="D176" s="52"/>
      <c r="E176" s="54"/>
      <c r="F176" s="54"/>
      <c r="G176" s="54"/>
      <c r="H176" s="19"/>
      <c r="I176" s="19"/>
      <c r="J176" s="19"/>
      <c r="K176" s="19"/>
      <c r="L176" s="19"/>
      <c r="M176" s="19"/>
    </row>
    <row r="177" spans="1:13" x14ac:dyDescent="0.2">
      <c r="A177" s="19"/>
      <c r="B177" s="52"/>
      <c r="C177" s="53"/>
      <c r="D177" s="52"/>
      <c r="E177" s="54"/>
      <c r="F177" s="54"/>
      <c r="G177" s="54"/>
      <c r="H177" s="19"/>
      <c r="I177" s="19"/>
      <c r="J177" s="19"/>
      <c r="K177" s="19"/>
      <c r="L177" s="19"/>
      <c r="M177" s="19"/>
    </row>
    <row r="178" spans="1:13" x14ac:dyDescent="0.2">
      <c r="A178" s="19"/>
      <c r="B178" s="52"/>
      <c r="C178" s="53"/>
      <c r="D178" s="52"/>
      <c r="E178" s="54"/>
      <c r="F178" s="54"/>
      <c r="G178" s="54"/>
      <c r="H178" s="19"/>
      <c r="I178" s="19"/>
      <c r="J178" s="19"/>
      <c r="K178" s="19"/>
      <c r="L178" s="19"/>
      <c r="M178" s="19"/>
    </row>
    <row r="179" spans="1:13" x14ac:dyDescent="0.2">
      <c r="A179" s="19"/>
      <c r="B179" s="52"/>
      <c r="C179" s="53"/>
      <c r="D179" s="52"/>
      <c r="E179" s="54"/>
      <c r="F179" s="54"/>
      <c r="G179" s="54"/>
      <c r="H179" s="19"/>
      <c r="I179" s="19"/>
      <c r="J179" s="19"/>
      <c r="K179" s="19"/>
      <c r="L179" s="19"/>
      <c r="M179" s="19"/>
    </row>
    <row r="180" spans="1:13" x14ac:dyDescent="0.2">
      <c r="A180" s="19"/>
      <c r="B180" s="52"/>
      <c r="C180" s="53"/>
      <c r="D180" s="52"/>
      <c r="E180" s="54"/>
      <c r="F180" s="54"/>
      <c r="G180" s="54"/>
      <c r="H180" s="19"/>
      <c r="I180" s="19"/>
      <c r="J180" s="19"/>
      <c r="K180" s="19"/>
      <c r="L180" s="19"/>
      <c r="M180" s="19"/>
    </row>
    <row r="181" spans="1:13" x14ac:dyDescent="0.2">
      <c r="A181" s="19"/>
      <c r="B181" s="52"/>
      <c r="C181" s="53"/>
      <c r="D181" s="52"/>
      <c r="E181" s="54"/>
      <c r="F181" s="54"/>
      <c r="G181" s="54"/>
      <c r="H181" s="19"/>
      <c r="I181" s="19"/>
      <c r="J181" s="19"/>
      <c r="K181" s="19"/>
      <c r="L181" s="19"/>
      <c r="M181" s="19"/>
    </row>
    <row r="182" spans="1:13" x14ac:dyDescent="0.2">
      <c r="A182" s="19"/>
      <c r="B182" s="52"/>
      <c r="C182" s="53"/>
      <c r="D182" s="52"/>
      <c r="E182" s="54"/>
      <c r="F182" s="54"/>
      <c r="G182" s="54"/>
      <c r="H182" s="19"/>
      <c r="I182" s="19"/>
      <c r="J182" s="19"/>
      <c r="K182" s="19"/>
      <c r="L182" s="19"/>
      <c r="M182" s="19"/>
    </row>
    <row r="183" spans="1:13" x14ac:dyDescent="0.2">
      <c r="A183" s="19"/>
      <c r="B183" s="52"/>
      <c r="C183" s="53"/>
      <c r="D183" s="52"/>
      <c r="E183" s="54"/>
      <c r="F183" s="54"/>
      <c r="G183" s="54"/>
      <c r="H183" s="19"/>
      <c r="I183" s="19"/>
      <c r="J183" s="19"/>
      <c r="K183" s="19"/>
      <c r="L183" s="19"/>
      <c r="M183" s="19"/>
    </row>
    <row r="184" spans="1:13" x14ac:dyDescent="0.2">
      <c r="A184" s="19"/>
      <c r="B184" s="52"/>
      <c r="C184" s="53"/>
      <c r="D184" s="52"/>
      <c r="E184" s="54"/>
      <c r="F184" s="54"/>
      <c r="G184" s="54"/>
      <c r="H184" s="19"/>
      <c r="I184" s="19"/>
      <c r="J184" s="19"/>
      <c r="K184" s="19"/>
      <c r="L184" s="19"/>
      <c r="M184" s="19"/>
    </row>
    <row r="185" spans="1:13" x14ac:dyDescent="0.2">
      <c r="A185" s="19"/>
      <c r="B185" s="52"/>
      <c r="C185" s="53"/>
      <c r="D185" s="52"/>
      <c r="E185" s="54"/>
      <c r="F185" s="54"/>
      <c r="G185" s="54"/>
      <c r="H185" s="19"/>
      <c r="I185" s="19"/>
      <c r="J185" s="19"/>
      <c r="K185" s="19"/>
      <c r="L185" s="19"/>
      <c r="M185" s="19"/>
    </row>
    <row r="186" spans="1:13" x14ac:dyDescent="0.2">
      <c r="A186" s="19"/>
      <c r="B186" s="52"/>
      <c r="C186" s="53"/>
      <c r="D186" s="52"/>
      <c r="E186" s="54"/>
      <c r="F186" s="54"/>
      <c r="G186" s="54"/>
      <c r="H186" s="19"/>
      <c r="I186" s="19"/>
      <c r="J186" s="19"/>
      <c r="K186" s="19"/>
      <c r="L186" s="19"/>
      <c r="M186" s="19"/>
    </row>
    <row r="187" spans="1:13" x14ac:dyDescent="0.2">
      <c r="A187" s="19"/>
      <c r="B187" s="52"/>
      <c r="C187" s="53"/>
      <c r="D187" s="52"/>
      <c r="E187" s="54"/>
      <c r="F187" s="54"/>
      <c r="G187" s="54"/>
      <c r="H187" s="19"/>
      <c r="I187" s="19"/>
      <c r="J187" s="19"/>
      <c r="K187" s="19"/>
      <c r="L187" s="19"/>
      <c r="M187" s="19"/>
    </row>
    <row r="188" spans="1:13" x14ac:dyDescent="0.2">
      <c r="A188" s="19"/>
      <c r="B188" s="52"/>
      <c r="C188" s="53"/>
      <c r="D188" s="52"/>
      <c r="E188" s="54"/>
      <c r="F188" s="54"/>
      <c r="G188" s="54"/>
      <c r="H188" s="19"/>
      <c r="I188" s="19"/>
      <c r="J188" s="19"/>
      <c r="K188" s="19"/>
      <c r="L188" s="19"/>
      <c r="M188" s="19"/>
    </row>
    <row r="189" spans="1:13" x14ac:dyDescent="0.2">
      <c r="A189" s="19"/>
      <c r="B189" s="52"/>
      <c r="C189" s="53"/>
      <c r="D189" s="52"/>
      <c r="E189" s="54"/>
      <c r="F189" s="54"/>
      <c r="G189" s="54"/>
      <c r="H189" s="19"/>
      <c r="I189" s="19"/>
      <c r="J189" s="19"/>
      <c r="K189" s="19"/>
      <c r="L189" s="19"/>
      <c r="M189" s="19"/>
    </row>
    <row r="190" spans="1:13" x14ac:dyDescent="0.2">
      <c r="A190" s="19"/>
      <c r="B190" s="52"/>
      <c r="C190" s="53"/>
      <c r="D190" s="52"/>
      <c r="E190" s="54"/>
      <c r="F190" s="54"/>
      <c r="G190" s="54"/>
      <c r="H190" s="19"/>
      <c r="I190" s="19"/>
      <c r="J190" s="19"/>
      <c r="K190" s="19"/>
      <c r="L190" s="19"/>
      <c r="M190" s="19"/>
    </row>
    <row r="191" spans="1:13" x14ac:dyDescent="0.2">
      <c r="A191" s="19"/>
      <c r="B191" s="52"/>
      <c r="C191" s="53"/>
      <c r="D191" s="52"/>
      <c r="E191" s="54"/>
      <c r="F191" s="54"/>
      <c r="G191" s="54"/>
      <c r="H191" s="19"/>
      <c r="I191" s="19"/>
      <c r="J191" s="19"/>
      <c r="K191" s="19"/>
      <c r="L191" s="19"/>
      <c r="M191" s="19"/>
    </row>
    <row r="192" spans="1:13" x14ac:dyDescent="0.2">
      <c r="A192" s="19"/>
      <c r="B192" s="52"/>
      <c r="C192" s="53"/>
      <c r="D192" s="52"/>
      <c r="E192" s="54"/>
      <c r="F192" s="54"/>
      <c r="G192" s="54"/>
      <c r="H192" s="19"/>
      <c r="I192" s="19"/>
      <c r="J192" s="19"/>
      <c r="K192" s="19"/>
      <c r="L192" s="19"/>
      <c r="M192" s="19"/>
    </row>
    <row r="193" spans="1:13" x14ac:dyDescent="0.2">
      <c r="A193" s="19"/>
      <c r="B193" s="52"/>
      <c r="C193" s="53"/>
      <c r="D193" s="52"/>
      <c r="E193" s="54"/>
      <c r="F193" s="54"/>
      <c r="G193" s="54"/>
      <c r="H193" s="19"/>
      <c r="I193" s="19"/>
      <c r="J193" s="19"/>
      <c r="K193" s="19"/>
      <c r="L193" s="19"/>
      <c r="M193" s="19"/>
    </row>
    <row r="194" spans="1:13" x14ac:dyDescent="0.2">
      <c r="A194" s="19"/>
      <c r="B194" s="52"/>
      <c r="C194" s="53"/>
      <c r="D194" s="52"/>
      <c r="E194" s="54"/>
      <c r="F194" s="54"/>
      <c r="G194" s="54"/>
      <c r="H194" s="19"/>
      <c r="I194" s="19"/>
      <c r="J194" s="19"/>
      <c r="K194" s="19"/>
      <c r="L194" s="19"/>
      <c r="M194" s="19"/>
    </row>
    <row r="195" spans="1:13" x14ac:dyDescent="0.2">
      <c r="A195" s="19"/>
      <c r="B195" s="52"/>
      <c r="C195" s="53"/>
      <c r="D195" s="52"/>
      <c r="E195" s="54"/>
      <c r="F195" s="54"/>
      <c r="G195" s="54"/>
      <c r="H195" s="19"/>
      <c r="I195" s="19"/>
      <c r="J195" s="19"/>
      <c r="K195" s="19"/>
      <c r="L195" s="19"/>
      <c r="M195" s="19"/>
    </row>
    <row r="196" spans="1:13" x14ac:dyDescent="0.2">
      <c r="A196" s="19"/>
      <c r="B196" s="52"/>
      <c r="C196" s="53"/>
      <c r="D196" s="52"/>
      <c r="E196" s="54"/>
      <c r="F196" s="54"/>
      <c r="G196" s="54"/>
      <c r="H196" s="19"/>
      <c r="I196" s="19"/>
      <c r="J196" s="19"/>
      <c r="K196" s="19"/>
      <c r="L196" s="19"/>
      <c r="M196" s="19"/>
    </row>
    <row r="197" spans="1:13" x14ac:dyDescent="0.2">
      <c r="A197" s="19"/>
      <c r="B197" s="52"/>
      <c r="C197" s="53"/>
      <c r="D197" s="52"/>
      <c r="E197" s="54"/>
      <c r="F197" s="54"/>
      <c r="G197" s="54"/>
      <c r="H197" s="19"/>
      <c r="I197" s="19"/>
      <c r="J197" s="19"/>
      <c r="K197" s="19"/>
      <c r="L197" s="19"/>
      <c r="M197" s="19"/>
    </row>
    <row r="198" spans="1:13" x14ac:dyDescent="0.2">
      <c r="A198" s="19"/>
      <c r="B198" s="52"/>
      <c r="C198" s="53"/>
      <c r="D198" s="52"/>
      <c r="E198" s="54"/>
      <c r="F198" s="54"/>
      <c r="G198" s="54"/>
      <c r="H198" s="19"/>
      <c r="I198" s="19"/>
      <c r="J198" s="19"/>
      <c r="K198" s="19"/>
      <c r="L198" s="19"/>
      <c r="M198" s="19"/>
    </row>
    <row r="199" spans="1:13" x14ac:dyDescent="0.2">
      <c r="A199" s="19"/>
      <c r="B199" s="52"/>
      <c r="C199" s="53"/>
      <c r="D199" s="52"/>
      <c r="E199" s="54"/>
      <c r="F199" s="54"/>
      <c r="G199" s="54"/>
      <c r="H199" s="19"/>
      <c r="I199" s="19"/>
      <c r="J199" s="19"/>
      <c r="K199" s="19"/>
      <c r="L199" s="19"/>
      <c r="M199" s="19"/>
    </row>
    <row r="200" spans="1:13" x14ac:dyDescent="0.2">
      <c r="A200" s="19"/>
      <c r="B200" s="52"/>
      <c r="C200" s="53"/>
      <c r="D200" s="52"/>
      <c r="E200" s="54"/>
      <c r="F200" s="54"/>
      <c r="G200" s="54"/>
      <c r="H200" s="19"/>
      <c r="I200" s="19"/>
      <c r="J200" s="19"/>
      <c r="K200" s="19"/>
      <c r="L200" s="19"/>
      <c r="M200" s="19"/>
    </row>
    <row r="201" spans="1:13" x14ac:dyDescent="0.2">
      <c r="A201" s="19"/>
      <c r="B201" s="52"/>
      <c r="C201" s="53"/>
      <c r="D201" s="52"/>
      <c r="E201" s="54"/>
      <c r="F201" s="54"/>
      <c r="G201" s="54"/>
      <c r="H201" s="19"/>
      <c r="I201" s="19"/>
      <c r="J201" s="19"/>
      <c r="K201" s="19"/>
      <c r="L201" s="19"/>
      <c r="M201" s="19"/>
    </row>
    <row r="202" spans="1:13" x14ac:dyDescent="0.2">
      <c r="A202" s="19"/>
      <c r="B202" s="52"/>
      <c r="C202" s="53"/>
      <c r="D202" s="52"/>
      <c r="E202" s="54"/>
      <c r="F202" s="54"/>
      <c r="G202" s="54"/>
      <c r="H202" s="19"/>
      <c r="I202" s="19"/>
      <c r="J202" s="19"/>
      <c r="K202" s="19"/>
      <c r="L202" s="19"/>
      <c r="M202" s="19"/>
    </row>
    <row r="203" spans="1:13" x14ac:dyDescent="0.2">
      <c r="A203" s="19"/>
      <c r="B203" s="52"/>
      <c r="C203" s="53"/>
      <c r="D203" s="52"/>
      <c r="E203" s="54"/>
      <c r="F203" s="54"/>
      <c r="G203" s="54"/>
      <c r="H203" s="19"/>
      <c r="I203" s="19"/>
      <c r="J203" s="19"/>
      <c r="K203" s="19"/>
      <c r="L203" s="19"/>
      <c r="M203" s="19"/>
    </row>
    <row r="204" spans="1:13" x14ac:dyDescent="0.2">
      <c r="A204" s="19"/>
      <c r="B204" s="52"/>
      <c r="C204" s="53"/>
      <c r="D204" s="52"/>
      <c r="E204" s="54"/>
      <c r="F204" s="54"/>
      <c r="G204" s="54"/>
      <c r="H204" s="19"/>
      <c r="I204" s="19"/>
      <c r="J204" s="19"/>
      <c r="K204" s="19"/>
      <c r="L204" s="19"/>
      <c r="M204" s="19"/>
    </row>
    <row r="205" spans="1:13" x14ac:dyDescent="0.2">
      <c r="A205" s="19"/>
      <c r="B205" s="52"/>
      <c r="C205" s="53"/>
      <c r="D205" s="52"/>
      <c r="E205" s="54"/>
      <c r="F205" s="54"/>
      <c r="G205" s="54"/>
      <c r="H205" s="19"/>
      <c r="I205" s="19"/>
      <c r="J205" s="19"/>
      <c r="K205" s="19"/>
      <c r="L205" s="19"/>
      <c r="M205" s="19"/>
    </row>
    <row r="206" spans="1:13" x14ac:dyDescent="0.2">
      <c r="A206" s="19"/>
      <c r="B206" s="52"/>
      <c r="C206" s="53"/>
      <c r="D206" s="52"/>
      <c r="E206" s="54"/>
      <c r="F206" s="54"/>
      <c r="G206" s="54"/>
      <c r="H206" s="19"/>
      <c r="I206" s="19"/>
      <c r="J206" s="19"/>
      <c r="K206" s="19"/>
      <c r="L206" s="19"/>
      <c r="M206" s="19"/>
    </row>
    <row r="207" spans="1:13" x14ac:dyDescent="0.2">
      <c r="A207" s="19"/>
      <c r="B207" s="52"/>
      <c r="C207" s="53"/>
      <c r="D207" s="52"/>
      <c r="E207" s="54"/>
      <c r="F207" s="54"/>
      <c r="G207" s="54"/>
      <c r="H207" s="19"/>
      <c r="I207" s="19"/>
      <c r="J207" s="19"/>
      <c r="K207" s="19"/>
      <c r="L207" s="19"/>
      <c r="M207" s="19"/>
    </row>
    <row r="208" spans="1:13" x14ac:dyDescent="0.2">
      <c r="A208" s="19"/>
      <c r="B208" s="52"/>
      <c r="C208" s="53"/>
      <c r="D208" s="52"/>
      <c r="E208" s="54"/>
      <c r="F208" s="54"/>
      <c r="G208" s="54"/>
      <c r="H208" s="19"/>
      <c r="I208" s="19"/>
      <c r="J208" s="19"/>
      <c r="K208" s="19"/>
      <c r="L208" s="19"/>
      <c r="M208" s="19"/>
    </row>
    <row r="209" spans="1:13" x14ac:dyDescent="0.2">
      <c r="A209" s="19"/>
      <c r="B209" s="52"/>
      <c r="C209" s="53"/>
      <c r="D209" s="52"/>
      <c r="E209" s="54"/>
      <c r="F209" s="54"/>
      <c r="G209" s="54"/>
      <c r="H209" s="19"/>
      <c r="I209" s="19"/>
      <c r="J209" s="19"/>
      <c r="K209" s="19"/>
      <c r="L209" s="19"/>
      <c r="M209" s="19"/>
    </row>
    <row r="210" spans="1:13" x14ac:dyDescent="0.2">
      <c r="A210" s="19"/>
      <c r="B210" s="52"/>
      <c r="C210" s="53"/>
      <c r="D210" s="52"/>
      <c r="E210" s="54"/>
      <c r="F210" s="54"/>
      <c r="G210" s="54"/>
      <c r="H210" s="19"/>
      <c r="I210" s="19"/>
      <c r="J210" s="19"/>
      <c r="K210" s="19"/>
      <c r="L210" s="19"/>
      <c r="M210" s="19"/>
    </row>
    <row r="211" spans="1:13" x14ac:dyDescent="0.2">
      <c r="A211" s="19"/>
      <c r="B211" s="52"/>
      <c r="C211" s="53"/>
      <c r="D211" s="52"/>
      <c r="E211" s="54"/>
      <c r="F211" s="54"/>
      <c r="G211" s="54"/>
      <c r="H211" s="19"/>
      <c r="I211" s="19"/>
      <c r="J211" s="19"/>
      <c r="K211" s="19"/>
      <c r="L211" s="19"/>
      <c r="M211" s="19"/>
    </row>
    <row r="212" spans="1:13" x14ac:dyDescent="0.2">
      <c r="A212" s="19"/>
      <c r="B212" s="52"/>
      <c r="C212" s="53"/>
      <c r="D212" s="52"/>
      <c r="E212" s="54"/>
      <c r="F212" s="54"/>
      <c r="G212" s="54"/>
      <c r="H212" s="19"/>
      <c r="I212" s="19"/>
      <c r="J212" s="19"/>
      <c r="K212" s="19"/>
      <c r="L212" s="19"/>
      <c r="M212" s="19"/>
    </row>
    <row r="213" spans="1:13" x14ac:dyDescent="0.2">
      <c r="A213" s="19"/>
      <c r="B213" s="52"/>
      <c r="C213" s="53"/>
      <c r="D213" s="52"/>
      <c r="E213" s="54"/>
      <c r="F213" s="54"/>
      <c r="G213" s="54"/>
      <c r="H213" s="19"/>
      <c r="I213" s="19"/>
      <c r="J213" s="19"/>
      <c r="K213" s="19"/>
      <c r="L213" s="19"/>
      <c r="M213" s="19"/>
    </row>
    <row r="214" spans="1:13" x14ac:dyDescent="0.2">
      <c r="A214" s="19"/>
      <c r="B214" s="52"/>
      <c r="C214" s="53"/>
      <c r="D214" s="52"/>
      <c r="E214" s="54"/>
      <c r="F214" s="54"/>
      <c r="G214" s="54"/>
      <c r="H214" s="19"/>
      <c r="I214" s="19"/>
      <c r="J214" s="19"/>
      <c r="K214" s="19"/>
      <c r="L214" s="19"/>
      <c r="M214" s="19"/>
    </row>
    <row r="215" spans="1:13" x14ac:dyDescent="0.2">
      <c r="A215" s="19"/>
      <c r="B215" s="52"/>
      <c r="C215" s="53"/>
      <c r="D215" s="52"/>
      <c r="E215" s="54"/>
      <c r="F215" s="54"/>
      <c r="G215" s="54"/>
      <c r="H215" s="19"/>
      <c r="I215" s="19"/>
      <c r="J215" s="19"/>
      <c r="K215" s="19"/>
      <c r="L215" s="19"/>
      <c r="M215" s="19"/>
    </row>
    <row r="216" spans="1:13" x14ac:dyDescent="0.2">
      <c r="A216" s="19"/>
      <c r="B216" s="52"/>
      <c r="C216" s="53"/>
      <c r="D216" s="52"/>
      <c r="E216" s="54"/>
      <c r="F216" s="54"/>
      <c r="G216" s="54"/>
      <c r="H216" s="19"/>
      <c r="I216" s="19"/>
      <c r="J216" s="19"/>
      <c r="K216" s="19"/>
      <c r="L216" s="19"/>
      <c r="M216" s="19"/>
    </row>
    <row r="217" spans="1:13" x14ac:dyDescent="0.2">
      <c r="A217" s="19"/>
      <c r="B217" s="52"/>
      <c r="C217" s="53"/>
      <c r="D217" s="52"/>
      <c r="E217" s="54"/>
      <c r="F217" s="54"/>
      <c r="G217" s="54"/>
      <c r="H217" s="19"/>
      <c r="I217" s="19"/>
      <c r="J217" s="19"/>
      <c r="K217" s="19"/>
      <c r="L217" s="19"/>
      <c r="M217" s="19"/>
    </row>
    <row r="218" spans="1:13" x14ac:dyDescent="0.2">
      <c r="A218" s="19"/>
      <c r="B218" s="52"/>
      <c r="C218" s="53"/>
      <c r="D218" s="52"/>
      <c r="E218" s="54"/>
      <c r="F218" s="54"/>
      <c r="G218" s="54"/>
      <c r="H218" s="19"/>
      <c r="I218" s="19"/>
      <c r="J218" s="19"/>
      <c r="K218" s="19"/>
      <c r="L218" s="19"/>
      <c r="M218" s="19"/>
    </row>
    <row r="219" spans="1:13" x14ac:dyDescent="0.2">
      <c r="A219" s="19"/>
      <c r="B219" s="52"/>
      <c r="C219" s="53"/>
      <c r="D219" s="52"/>
      <c r="E219" s="54"/>
      <c r="F219" s="54"/>
      <c r="G219" s="54"/>
      <c r="H219" s="19"/>
      <c r="I219" s="19"/>
      <c r="J219" s="19"/>
      <c r="K219" s="19"/>
      <c r="L219" s="19"/>
      <c r="M219" s="19"/>
    </row>
    <row r="220" spans="1:13" x14ac:dyDescent="0.2">
      <c r="A220" s="19"/>
      <c r="B220" s="52"/>
      <c r="C220" s="53"/>
      <c r="D220" s="52"/>
      <c r="E220" s="54"/>
      <c r="F220" s="54"/>
      <c r="G220" s="54"/>
      <c r="H220" s="19"/>
      <c r="I220" s="19"/>
      <c r="J220" s="19"/>
      <c r="K220" s="19"/>
      <c r="L220" s="19"/>
      <c r="M220" s="19"/>
    </row>
    <row r="221" spans="1:13" x14ac:dyDescent="0.2">
      <c r="A221" s="19"/>
      <c r="B221" s="52"/>
      <c r="C221" s="53"/>
      <c r="D221" s="52"/>
      <c r="E221" s="54"/>
      <c r="F221" s="54"/>
      <c r="G221" s="54"/>
      <c r="H221" s="19"/>
      <c r="I221" s="19"/>
      <c r="J221" s="19"/>
      <c r="K221" s="19"/>
      <c r="L221" s="19"/>
      <c r="M221" s="19"/>
    </row>
    <row r="222" spans="1:13" x14ac:dyDescent="0.2">
      <c r="A222" s="19"/>
      <c r="B222" s="52"/>
      <c r="C222" s="53"/>
      <c r="D222" s="52"/>
      <c r="E222" s="54"/>
      <c r="F222" s="54"/>
      <c r="G222" s="54"/>
      <c r="H222" s="19"/>
      <c r="I222" s="19"/>
      <c r="J222" s="19"/>
      <c r="K222" s="19"/>
      <c r="L222" s="19"/>
      <c r="M222" s="19"/>
    </row>
    <row r="223" spans="1:13" x14ac:dyDescent="0.2">
      <c r="A223" s="19"/>
      <c r="B223" s="52"/>
      <c r="C223" s="53"/>
      <c r="D223" s="52"/>
      <c r="E223" s="54"/>
      <c r="F223" s="54"/>
      <c r="G223" s="54"/>
      <c r="H223" s="19"/>
      <c r="I223" s="19"/>
      <c r="J223" s="19"/>
      <c r="K223" s="19"/>
      <c r="L223" s="19"/>
      <c r="M223" s="19"/>
    </row>
    <row r="224" spans="1:13" x14ac:dyDescent="0.2">
      <c r="A224" s="19"/>
      <c r="B224" s="52"/>
      <c r="C224" s="53"/>
      <c r="D224" s="52"/>
      <c r="E224" s="54"/>
      <c r="F224" s="54"/>
      <c r="G224" s="54"/>
      <c r="H224" s="19"/>
      <c r="I224" s="19"/>
      <c r="J224" s="19"/>
      <c r="K224" s="19"/>
      <c r="L224" s="19"/>
      <c r="M224" s="19"/>
    </row>
    <row r="225" spans="1:13" x14ac:dyDescent="0.2">
      <c r="A225" s="19"/>
      <c r="B225" s="52"/>
      <c r="C225" s="53"/>
      <c r="D225" s="52"/>
      <c r="E225" s="54"/>
      <c r="F225" s="54"/>
      <c r="G225" s="54"/>
      <c r="H225" s="19"/>
      <c r="I225" s="19"/>
      <c r="J225" s="19"/>
      <c r="K225" s="19"/>
      <c r="L225" s="19"/>
      <c r="M225" s="19"/>
    </row>
    <row r="226" spans="1:13" x14ac:dyDescent="0.2">
      <c r="A226" s="19"/>
      <c r="B226" s="52"/>
      <c r="C226" s="53"/>
      <c r="D226" s="52"/>
      <c r="E226" s="54"/>
      <c r="F226" s="54"/>
      <c r="G226" s="54"/>
      <c r="H226" s="19"/>
      <c r="I226" s="19"/>
      <c r="J226" s="19"/>
      <c r="K226" s="19"/>
      <c r="L226" s="19"/>
      <c r="M226" s="19"/>
    </row>
    <row r="227" spans="1:13" x14ac:dyDescent="0.2">
      <c r="A227" s="19"/>
      <c r="B227" s="52"/>
      <c r="C227" s="53"/>
      <c r="D227" s="52"/>
      <c r="E227" s="54"/>
      <c r="F227" s="54"/>
      <c r="G227" s="54"/>
      <c r="H227" s="19"/>
      <c r="I227" s="19"/>
      <c r="J227" s="19"/>
      <c r="K227" s="19"/>
      <c r="L227" s="19"/>
      <c r="M227" s="19"/>
    </row>
    <row r="228" spans="1:13" x14ac:dyDescent="0.2">
      <c r="A228" s="19"/>
      <c r="B228" s="52"/>
      <c r="C228" s="53"/>
      <c r="D228" s="52"/>
      <c r="E228" s="54"/>
      <c r="F228" s="54"/>
      <c r="G228" s="54"/>
      <c r="H228" s="19"/>
      <c r="I228" s="19"/>
      <c r="J228" s="19"/>
      <c r="K228" s="19"/>
      <c r="L228" s="19"/>
      <c r="M228" s="19"/>
    </row>
    <row r="229" spans="1:13" x14ac:dyDescent="0.2">
      <c r="A229" s="19"/>
      <c r="B229" s="52"/>
      <c r="C229" s="53"/>
      <c r="D229" s="52"/>
      <c r="E229" s="54"/>
      <c r="F229" s="54"/>
      <c r="G229" s="54"/>
      <c r="H229" s="19"/>
      <c r="I229" s="19"/>
      <c r="J229" s="19"/>
      <c r="K229" s="19"/>
      <c r="L229" s="19"/>
      <c r="M229" s="19"/>
    </row>
    <row r="230" spans="1:13" x14ac:dyDescent="0.2">
      <c r="A230" s="19"/>
      <c r="B230" s="52"/>
      <c r="C230" s="53"/>
      <c r="D230" s="52"/>
      <c r="E230" s="54"/>
      <c r="F230" s="54"/>
      <c r="G230" s="54"/>
      <c r="H230" s="19"/>
      <c r="I230" s="19"/>
      <c r="J230" s="19"/>
      <c r="K230" s="19"/>
      <c r="L230" s="19"/>
      <c r="M230" s="19"/>
    </row>
    <row r="231" spans="1:13" x14ac:dyDescent="0.2">
      <c r="A231" s="19"/>
      <c r="B231" s="52"/>
      <c r="C231" s="53"/>
      <c r="D231" s="52"/>
      <c r="E231" s="54"/>
      <c r="F231" s="54"/>
      <c r="G231" s="54"/>
      <c r="H231" s="19"/>
      <c r="I231" s="19"/>
      <c r="J231" s="19"/>
      <c r="K231" s="19"/>
      <c r="L231" s="19"/>
      <c r="M231" s="19"/>
    </row>
    <row r="232" spans="1:13" x14ac:dyDescent="0.2">
      <c r="A232" s="19"/>
      <c r="B232" s="52"/>
      <c r="C232" s="53"/>
      <c r="D232" s="52"/>
      <c r="E232" s="54"/>
      <c r="F232" s="54"/>
      <c r="G232" s="54"/>
      <c r="H232" s="19"/>
      <c r="I232" s="19"/>
      <c r="J232" s="19"/>
      <c r="K232" s="19"/>
      <c r="L232" s="19"/>
      <c r="M232" s="19"/>
    </row>
    <row r="233" spans="1:13" x14ac:dyDescent="0.2">
      <c r="A233" s="19"/>
      <c r="B233" s="52"/>
      <c r="C233" s="53"/>
      <c r="D233" s="52"/>
      <c r="E233" s="54"/>
      <c r="F233" s="54"/>
      <c r="G233" s="54"/>
      <c r="H233" s="19"/>
      <c r="I233" s="19"/>
      <c r="J233" s="19"/>
      <c r="K233" s="19"/>
      <c r="L233" s="19"/>
      <c r="M233" s="19"/>
    </row>
    <row r="234" spans="1:13" x14ac:dyDescent="0.2">
      <c r="A234" s="19"/>
      <c r="B234" s="52"/>
      <c r="C234" s="53"/>
      <c r="D234" s="52"/>
      <c r="E234" s="54"/>
      <c r="F234" s="54"/>
      <c r="G234" s="54"/>
      <c r="H234" s="19"/>
      <c r="I234" s="19"/>
      <c r="J234" s="19"/>
      <c r="K234" s="19"/>
      <c r="L234" s="19"/>
      <c r="M234" s="19"/>
    </row>
  </sheetData>
  <mergeCells count="3">
    <mergeCell ref="A1:H1"/>
    <mergeCell ref="E3:H3"/>
    <mergeCell ref="I3:M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5"/>
  <sheetViews>
    <sheetView showGridLines="0" topLeftCell="A14" zoomScaleNormal="100" workbookViewId="0">
      <pane xSplit="1" topLeftCell="D1" activePane="topRight" state="frozen"/>
      <selection activeCell="B21" sqref="B21"/>
      <selection pane="topRight" activeCell="A41" sqref="A41"/>
    </sheetView>
  </sheetViews>
  <sheetFormatPr baseColWidth="10" defaultRowHeight="12.75" x14ac:dyDescent="0.2"/>
  <cols>
    <col min="1" max="1" width="37.42578125" style="37" customWidth="1"/>
    <col min="2" max="2" width="18.28515625" style="24" customWidth="1"/>
    <col min="3" max="3" width="17.28515625" style="24" customWidth="1"/>
    <col min="4" max="4" width="19" style="24" customWidth="1"/>
    <col min="5" max="5" width="20" style="21" customWidth="1"/>
    <col min="6" max="6" width="15.42578125" style="21" customWidth="1"/>
    <col min="7" max="7" width="11.42578125" style="21"/>
    <col min="8" max="8" width="16.140625" style="21" customWidth="1"/>
    <col min="9" max="16384" width="11.42578125" style="21"/>
  </cols>
  <sheetData>
    <row r="1" spans="1:13" ht="54.75" customHeight="1" x14ac:dyDescent="0.2">
      <c r="A1" s="167" t="s">
        <v>120</v>
      </c>
      <c r="B1" s="174"/>
      <c r="C1" s="174"/>
      <c r="D1" s="174"/>
      <c r="E1" s="174"/>
      <c r="F1" s="174"/>
    </row>
    <row r="3" spans="1:13" x14ac:dyDescent="0.2">
      <c r="A3" s="175"/>
      <c r="B3" s="176"/>
      <c r="C3" s="176"/>
      <c r="D3" s="177"/>
      <c r="E3" s="178" t="s">
        <v>47</v>
      </c>
      <c r="F3" s="179"/>
      <c r="G3" s="179"/>
      <c r="H3" s="179"/>
      <c r="I3" s="180" t="s">
        <v>115</v>
      </c>
      <c r="J3" s="180"/>
      <c r="K3" s="180"/>
      <c r="L3" s="180"/>
      <c r="M3" s="180"/>
    </row>
    <row r="4" spans="1:13" x14ac:dyDescent="0.2">
      <c r="A4" s="25"/>
      <c r="B4" s="26" t="s">
        <v>55</v>
      </c>
      <c r="C4" s="26" t="s">
        <v>56</v>
      </c>
      <c r="D4" s="26" t="s">
        <v>57</v>
      </c>
      <c r="E4" s="109" t="s">
        <v>63</v>
      </c>
      <c r="F4" s="109" t="s">
        <v>46</v>
      </c>
      <c r="G4" s="109" t="s">
        <v>64</v>
      </c>
      <c r="H4" s="110" t="s">
        <v>46</v>
      </c>
      <c r="I4" s="112">
        <v>2017</v>
      </c>
      <c r="J4" s="112" t="s">
        <v>46</v>
      </c>
      <c r="K4" s="112">
        <v>2018</v>
      </c>
      <c r="L4" s="112" t="s">
        <v>46</v>
      </c>
      <c r="M4" s="112">
        <v>2019</v>
      </c>
    </row>
    <row r="5" spans="1:13" x14ac:dyDescent="0.2">
      <c r="A5" s="25"/>
      <c r="B5" s="26"/>
      <c r="C5" s="26"/>
      <c r="D5" s="26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">
      <c r="A6" s="28" t="s">
        <v>69</v>
      </c>
      <c r="B6" s="29"/>
      <c r="C6" s="30"/>
      <c r="D6" s="30"/>
      <c r="E6" s="31"/>
      <c r="F6" s="30"/>
      <c r="G6" s="31"/>
      <c r="H6" s="30"/>
      <c r="I6" s="32"/>
      <c r="J6" s="33"/>
      <c r="K6" s="32"/>
      <c r="L6" s="27"/>
      <c r="M6" s="32"/>
    </row>
    <row r="7" spans="1:13" x14ac:dyDescent="0.2">
      <c r="A7" s="25" t="s">
        <v>70</v>
      </c>
      <c r="B7" s="111">
        <v>317344277</v>
      </c>
      <c r="C7" s="111">
        <v>228638568</v>
      </c>
      <c r="D7" s="111">
        <v>94749128</v>
      </c>
      <c r="E7" s="31">
        <f t="shared" ref="E7" si="0">(C7-B7)/B7</f>
        <v>-0.27952515746802015</v>
      </c>
      <c r="F7" s="30">
        <f>ABS(C7-B7)</f>
        <v>88705709</v>
      </c>
      <c r="G7" s="31">
        <f t="shared" ref="G7" si="1">(D7-C7)/C7</f>
        <v>-0.58559429046109146</v>
      </c>
      <c r="H7" s="30">
        <f>-(D7-C7)</f>
        <v>133889440</v>
      </c>
      <c r="I7" s="32">
        <f>ABS(B7/($B$7+$B$8))</f>
        <v>1</v>
      </c>
      <c r="J7" s="33">
        <f>K7-I7</f>
        <v>0</v>
      </c>
      <c r="K7" s="32">
        <f>ABS(C7/($C$7+$C$8))</f>
        <v>1</v>
      </c>
      <c r="L7" s="33">
        <f>M7-K7</f>
        <v>0</v>
      </c>
      <c r="M7" s="32">
        <f>ABS(D7/($D$7+$D$8))</f>
        <v>1</v>
      </c>
    </row>
    <row r="8" spans="1:13" x14ac:dyDescent="0.2">
      <c r="A8" s="34" t="s">
        <v>71</v>
      </c>
      <c r="B8" s="111">
        <v>0</v>
      </c>
      <c r="C8" s="111">
        <v>0</v>
      </c>
      <c r="D8" s="111">
        <v>0</v>
      </c>
      <c r="E8" s="31"/>
      <c r="F8" s="30">
        <f t="shared" ref="F8:F55" si="2">ABS(C8-B8)</f>
        <v>0</v>
      </c>
      <c r="G8" s="31"/>
      <c r="H8" s="30">
        <f t="shared" ref="H8:H55" si="3">-(D8-C8)</f>
        <v>0</v>
      </c>
      <c r="I8" s="32">
        <f t="shared" ref="I8:I55" si="4">ABS(B8/($B$7+$B$8))</f>
        <v>0</v>
      </c>
      <c r="J8" s="33">
        <f t="shared" ref="J8:J55" si="5">K8-I8</f>
        <v>0</v>
      </c>
      <c r="K8" s="32">
        <f t="shared" ref="K8:K55" si="6">ABS(C8/($C$7+$C$8))</f>
        <v>0</v>
      </c>
      <c r="L8" s="33">
        <f t="shared" ref="L8:L55" si="7">M8-K8</f>
        <v>0</v>
      </c>
      <c r="M8" s="32">
        <f t="shared" ref="M8:M55" si="8">ABS(D8/($D$7+$D$8))</f>
        <v>0</v>
      </c>
    </row>
    <row r="9" spans="1:13" x14ac:dyDescent="0.2">
      <c r="A9" s="28" t="s">
        <v>72</v>
      </c>
      <c r="B9" s="111"/>
      <c r="C9" s="111"/>
      <c r="D9" s="111"/>
      <c r="E9" s="31"/>
      <c r="F9" s="30">
        <f t="shared" si="2"/>
        <v>0</v>
      </c>
      <c r="G9" s="31"/>
      <c r="H9" s="30">
        <f t="shared" si="3"/>
        <v>0</v>
      </c>
      <c r="I9" s="32">
        <f t="shared" si="4"/>
        <v>0</v>
      </c>
      <c r="J9" s="33">
        <f t="shared" si="5"/>
        <v>0</v>
      </c>
      <c r="K9" s="32">
        <f t="shared" si="6"/>
        <v>0</v>
      </c>
      <c r="L9" s="33">
        <f t="shared" si="7"/>
        <v>0</v>
      </c>
      <c r="M9" s="32">
        <f t="shared" si="8"/>
        <v>0</v>
      </c>
    </row>
    <row r="10" spans="1:13" s="97" customFormat="1" x14ac:dyDescent="0.2">
      <c r="A10" s="28" t="s">
        <v>48</v>
      </c>
      <c r="B10" s="111"/>
      <c r="C10" s="111"/>
      <c r="D10" s="111"/>
      <c r="E10" s="31"/>
      <c r="F10" s="30">
        <f t="shared" si="2"/>
        <v>0</v>
      </c>
      <c r="G10" s="31"/>
      <c r="H10" s="30">
        <f t="shared" si="3"/>
        <v>0</v>
      </c>
      <c r="I10" s="32">
        <f t="shared" si="4"/>
        <v>0</v>
      </c>
      <c r="J10" s="33">
        <f t="shared" si="5"/>
        <v>0</v>
      </c>
      <c r="K10" s="32">
        <f t="shared" si="6"/>
        <v>0</v>
      </c>
      <c r="L10" s="33">
        <f t="shared" si="7"/>
        <v>0</v>
      </c>
      <c r="M10" s="32">
        <f t="shared" si="8"/>
        <v>0</v>
      </c>
    </row>
    <row r="11" spans="1:13" x14ac:dyDescent="0.2">
      <c r="A11" s="23" t="s">
        <v>73</v>
      </c>
      <c r="B11" s="91">
        <v>268444384</v>
      </c>
      <c r="C11" s="91">
        <v>116037016</v>
      </c>
      <c r="D11" s="91">
        <v>65614518</v>
      </c>
      <c r="E11" s="31">
        <f t="shared" ref="E11:E55" si="9">(C11-B11)/B11</f>
        <v>-0.56774280664407561</v>
      </c>
      <c r="F11" s="30">
        <f t="shared" si="2"/>
        <v>152407368</v>
      </c>
      <c r="G11" s="31">
        <f t="shared" ref="G11:G55" si="10">(D11-C11)/C11</f>
        <v>-0.43453804430820592</v>
      </c>
      <c r="H11" s="30">
        <f t="shared" si="3"/>
        <v>50422498</v>
      </c>
      <c r="I11" s="32">
        <f t="shared" si="4"/>
        <v>0.84590901256429463</v>
      </c>
      <c r="J11" s="33">
        <f t="shared" si="5"/>
        <v>-0.33839614185737177</v>
      </c>
      <c r="K11" s="32">
        <f t="shared" si="6"/>
        <v>0.50751287070692286</v>
      </c>
      <c r="L11" s="33">
        <f t="shared" si="7"/>
        <v>0.18499501179306177</v>
      </c>
      <c r="M11" s="32">
        <f t="shared" si="8"/>
        <v>0.69250788249998463</v>
      </c>
    </row>
    <row r="12" spans="1:13" x14ac:dyDescent="0.2">
      <c r="A12" s="18" t="s">
        <v>114</v>
      </c>
      <c r="B12" s="91"/>
      <c r="C12" s="91"/>
      <c r="D12" s="91"/>
      <c r="E12" s="31"/>
      <c r="F12" s="30">
        <f t="shared" si="2"/>
        <v>0</v>
      </c>
      <c r="G12" s="31"/>
      <c r="H12" s="30">
        <f t="shared" si="3"/>
        <v>0</v>
      </c>
      <c r="I12" s="32">
        <f t="shared" si="4"/>
        <v>0</v>
      </c>
      <c r="J12" s="33">
        <f t="shared" si="5"/>
        <v>0</v>
      </c>
      <c r="K12" s="32">
        <f t="shared" si="6"/>
        <v>0</v>
      </c>
      <c r="L12" s="33">
        <f t="shared" si="7"/>
        <v>0</v>
      </c>
      <c r="M12" s="32">
        <f t="shared" si="8"/>
        <v>0</v>
      </c>
    </row>
    <row r="13" spans="1:13" x14ac:dyDescent="0.2">
      <c r="A13" s="17" t="s">
        <v>74</v>
      </c>
      <c r="B13" s="95">
        <v>48899893</v>
      </c>
      <c r="C13" s="95">
        <v>112601552</v>
      </c>
      <c r="D13" s="95">
        <v>29134610</v>
      </c>
      <c r="E13" s="31">
        <f t="shared" si="9"/>
        <v>1.3026952635663231</v>
      </c>
      <c r="F13" s="30">
        <f t="shared" si="2"/>
        <v>63701659</v>
      </c>
      <c r="G13" s="31">
        <f t="shared" si="10"/>
        <v>-0.74125925013893235</v>
      </c>
      <c r="H13" s="30">
        <f t="shared" si="3"/>
        <v>83466942</v>
      </c>
      <c r="I13" s="32">
        <f t="shared" si="4"/>
        <v>0.15409098743570535</v>
      </c>
      <c r="J13" s="33">
        <f t="shared" si="5"/>
        <v>0.33839614185737177</v>
      </c>
      <c r="K13" s="32">
        <f t="shared" si="6"/>
        <v>0.49248712929307709</v>
      </c>
      <c r="L13" s="33">
        <f t="shared" si="7"/>
        <v>-0.18499501179306166</v>
      </c>
      <c r="M13" s="32">
        <f t="shared" si="8"/>
        <v>0.30749211750001543</v>
      </c>
    </row>
    <row r="14" spans="1:13" x14ac:dyDescent="0.2">
      <c r="A14" s="17" t="s">
        <v>72</v>
      </c>
      <c r="B14" s="91"/>
      <c r="C14" s="91"/>
      <c r="D14" s="91"/>
      <c r="E14" s="31"/>
      <c r="F14" s="30">
        <f t="shared" si="2"/>
        <v>0</v>
      </c>
      <c r="G14" s="31"/>
      <c r="H14" s="30">
        <f t="shared" si="3"/>
        <v>0</v>
      </c>
      <c r="I14" s="32">
        <f t="shared" si="4"/>
        <v>0</v>
      </c>
      <c r="J14" s="33">
        <f t="shared" si="5"/>
        <v>0</v>
      </c>
      <c r="K14" s="32">
        <f t="shared" si="6"/>
        <v>0</v>
      </c>
      <c r="L14" s="33">
        <f t="shared" si="7"/>
        <v>0</v>
      </c>
      <c r="M14" s="32">
        <f t="shared" si="8"/>
        <v>0</v>
      </c>
    </row>
    <row r="15" spans="1:13" x14ac:dyDescent="0.2">
      <c r="A15" s="17" t="s">
        <v>75</v>
      </c>
      <c r="B15" s="91"/>
      <c r="C15" s="91"/>
      <c r="D15" s="91"/>
      <c r="E15" s="31"/>
      <c r="F15" s="30">
        <f t="shared" si="2"/>
        <v>0</v>
      </c>
      <c r="G15" s="31"/>
      <c r="H15" s="30">
        <f t="shared" si="3"/>
        <v>0</v>
      </c>
      <c r="I15" s="32">
        <f t="shared" si="4"/>
        <v>0</v>
      </c>
      <c r="J15" s="33">
        <f t="shared" si="5"/>
        <v>0</v>
      </c>
      <c r="K15" s="32">
        <f t="shared" si="6"/>
        <v>0</v>
      </c>
      <c r="L15" s="33">
        <f t="shared" si="7"/>
        <v>0</v>
      </c>
      <c r="M15" s="32">
        <f t="shared" si="8"/>
        <v>0</v>
      </c>
    </row>
    <row r="16" spans="1:13" x14ac:dyDescent="0.2">
      <c r="A16" s="5" t="s">
        <v>101</v>
      </c>
      <c r="B16" s="91"/>
      <c r="C16" s="91"/>
      <c r="D16" s="91">
        <v>26821412</v>
      </c>
      <c r="E16" s="31"/>
      <c r="F16" s="30">
        <f t="shared" si="2"/>
        <v>0</v>
      </c>
      <c r="G16" s="31"/>
      <c r="H16" s="30">
        <f t="shared" si="3"/>
        <v>-26821412</v>
      </c>
      <c r="I16" s="32">
        <f t="shared" si="4"/>
        <v>0</v>
      </c>
      <c r="J16" s="33">
        <f t="shared" si="5"/>
        <v>0</v>
      </c>
      <c r="K16" s="32">
        <f t="shared" si="6"/>
        <v>0</v>
      </c>
      <c r="L16" s="33">
        <f t="shared" si="7"/>
        <v>0.28307819360617231</v>
      </c>
      <c r="M16" s="32">
        <f t="shared" si="8"/>
        <v>0.28307819360617231</v>
      </c>
    </row>
    <row r="17" spans="1:13" x14ac:dyDescent="0.2">
      <c r="A17" s="18" t="s">
        <v>76</v>
      </c>
      <c r="B17" s="91"/>
      <c r="C17" s="93">
        <v>0</v>
      </c>
      <c r="D17" s="93"/>
      <c r="E17" s="31"/>
      <c r="F17" s="30">
        <f t="shared" si="2"/>
        <v>0</v>
      </c>
      <c r="G17" s="31"/>
      <c r="H17" s="30">
        <f t="shared" si="3"/>
        <v>0</v>
      </c>
      <c r="I17" s="32">
        <f t="shared" si="4"/>
        <v>0</v>
      </c>
      <c r="J17" s="33">
        <f t="shared" si="5"/>
        <v>0</v>
      </c>
      <c r="K17" s="32">
        <f t="shared" si="6"/>
        <v>0</v>
      </c>
      <c r="L17" s="33">
        <f t="shared" si="7"/>
        <v>0</v>
      </c>
      <c r="M17" s="32">
        <f t="shared" si="8"/>
        <v>0</v>
      </c>
    </row>
    <row r="18" spans="1:13" x14ac:dyDescent="0.2">
      <c r="A18" s="23" t="s">
        <v>77</v>
      </c>
      <c r="B18" s="91">
        <v>0</v>
      </c>
      <c r="C18" s="91">
        <v>0</v>
      </c>
      <c r="D18" s="91">
        <v>111600000</v>
      </c>
      <c r="E18" s="31"/>
      <c r="F18" s="30">
        <f t="shared" si="2"/>
        <v>0</v>
      </c>
      <c r="G18" s="31"/>
      <c r="H18" s="30">
        <f t="shared" si="3"/>
        <v>-111600000</v>
      </c>
      <c r="I18" s="32">
        <f t="shared" si="4"/>
        <v>0</v>
      </c>
      <c r="J18" s="33">
        <f t="shared" si="5"/>
        <v>0</v>
      </c>
      <c r="K18" s="32">
        <f t="shared" si="6"/>
        <v>0</v>
      </c>
      <c r="L18" s="33">
        <f t="shared" si="7"/>
        <v>1.1778472515335445</v>
      </c>
      <c r="M18" s="32">
        <f t="shared" si="8"/>
        <v>1.1778472515335445</v>
      </c>
    </row>
    <row r="19" spans="1:13" x14ac:dyDescent="0.2">
      <c r="A19" s="23" t="s">
        <v>78</v>
      </c>
      <c r="B19" s="93">
        <v>737489</v>
      </c>
      <c r="C19" s="91">
        <v>1270640</v>
      </c>
      <c r="D19" s="91">
        <v>148231013</v>
      </c>
      <c r="E19" s="31">
        <f t="shared" si="9"/>
        <v>0.72292739281535046</v>
      </c>
      <c r="F19" s="30">
        <f t="shared" si="2"/>
        <v>533151</v>
      </c>
      <c r="G19" s="31">
        <f t="shared" si="10"/>
        <v>115.65854451300132</v>
      </c>
      <c r="H19" s="30">
        <f t="shared" si="3"/>
        <v>-146960373</v>
      </c>
      <c r="I19" s="32">
        <f t="shared" si="4"/>
        <v>2.3239398137940895E-3</v>
      </c>
      <c r="J19" s="33">
        <f t="shared" si="5"/>
        <v>3.2334777781495411E-3</v>
      </c>
      <c r="K19" s="32">
        <f t="shared" si="6"/>
        <v>5.5574175919436307E-3</v>
      </c>
      <c r="L19" s="33">
        <f t="shared" si="7"/>
        <v>1.5589003893442848</v>
      </c>
      <c r="M19" s="32">
        <f t="shared" si="8"/>
        <v>1.5644578069362285</v>
      </c>
    </row>
    <row r="20" spans="1:13" s="97" customFormat="1" x14ac:dyDescent="0.2">
      <c r="A20" s="96" t="s">
        <v>79</v>
      </c>
      <c r="B20" s="91">
        <v>0</v>
      </c>
      <c r="C20" s="91">
        <v>0</v>
      </c>
      <c r="D20" s="91">
        <v>0</v>
      </c>
      <c r="E20" s="31"/>
      <c r="F20" s="30">
        <f t="shared" si="2"/>
        <v>0</v>
      </c>
      <c r="G20" s="31"/>
      <c r="H20" s="30">
        <f t="shared" si="3"/>
        <v>0</v>
      </c>
      <c r="I20" s="32">
        <f t="shared" si="4"/>
        <v>0</v>
      </c>
      <c r="J20" s="33">
        <f t="shared" si="5"/>
        <v>0</v>
      </c>
      <c r="K20" s="32">
        <f t="shared" si="6"/>
        <v>0</v>
      </c>
      <c r="L20" s="33">
        <f t="shared" si="7"/>
        <v>0</v>
      </c>
      <c r="M20" s="32">
        <f t="shared" si="8"/>
        <v>0</v>
      </c>
    </row>
    <row r="21" spans="1:13" x14ac:dyDescent="0.2">
      <c r="A21" s="18" t="s">
        <v>80</v>
      </c>
      <c r="B21" s="91">
        <v>0</v>
      </c>
      <c r="C21" s="91">
        <v>35762551</v>
      </c>
      <c r="D21" s="91">
        <v>0</v>
      </c>
      <c r="E21" s="31"/>
      <c r="F21" s="30">
        <f t="shared" si="2"/>
        <v>35762551</v>
      </c>
      <c r="G21" s="31">
        <f t="shared" si="10"/>
        <v>-1</v>
      </c>
      <c r="H21" s="30">
        <f t="shared" si="3"/>
        <v>35762551</v>
      </c>
      <c r="I21" s="32">
        <f t="shared" si="4"/>
        <v>0</v>
      </c>
      <c r="J21" s="33">
        <f t="shared" si="5"/>
        <v>0.1564152160015278</v>
      </c>
      <c r="K21" s="32">
        <f t="shared" si="6"/>
        <v>0.1564152160015278</v>
      </c>
      <c r="L21" s="33">
        <f t="shared" si="7"/>
        <v>-0.1564152160015278</v>
      </c>
      <c r="M21" s="32">
        <f t="shared" si="8"/>
        <v>0</v>
      </c>
    </row>
    <row r="22" spans="1:13" x14ac:dyDescent="0.2">
      <c r="A22" s="18" t="s">
        <v>81</v>
      </c>
      <c r="B22" s="91">
        <v>0</v>
      </c>
      <c r="C22" s="91">
        <v>44710</v>
      </c>
      <c r="D22" s="91">
        <v>0</v>
      </c>
      <c r="E22" s="31"/>
      <c r="F22" s="30">
        <f t="shared" si="2"/>
        <v>44710</v>
      </c>
      <c r="G22" s="31">
        <f t="shared" si="10"/>
        <v>-1</v>
      </c>
      <c r="H22" s="30">
        <f t="shared" si="3"/>
        <v>44710</v>
      </c>
      <c r="I22" s="32">
        <f t="shared" si="4"/>
        <v>0</v>
      </c>
      <c r="J22" s="33">
        <f t="shared" si="5"/>
        <v>1.9554881047015654E-4</v>
      </c>
      <c r="K22" s="32">
        <f t="shared" si="6"/>
        <v>1.9554881047015654E-4</v>
      </c>
      <c r="L22" s="33">
        <f t="shared" si="7"/>
        <v>-1.9554881047015654E-4</v>
      </c>
      <c r="M22" s="32">
        <f t="shared" si="8"/>
        <v>0</v>
      </c>
    </row>
    <row r="23" spans="1:13" x14ac:dyDescent="0.2">
      <c r="A23" s="18" t="s">
        <v>82</v>
      </c>
      <c r="B23" s="91">
        <v>0</v>
      </c>
      <c r="C23" s="91">
        <v>5502565</v>
      </c>
      <c r="D23" s="91">
        <v>0</v>
      </c>
      <c r="E23" s="31"/>
      <c r="F23" s="30">
        <f t="shared" si="2"/>
        <v>5502565</v>
      </c>
      <c r="G23" s="31">
        <f t="shared" si="10"/>
        <v>-1</v>
      </c>
      <c r="H23" s="30">
        <f t="shared" si="3"/>
        <v>5502565</v>
      </c>
      <c r="I23" s="32">
        <f t="shared" si="4"/>
        <v>0</v>
      </c>
      <c r="J23" s="33">
        <f t="shared" si="5"/>
        <v>2.4066652656781859E-2</v>
      </c>
      <c r="K23" s="32">
        <f t="shared" si="6"/>
        <v>2.4066652656781859E-2</v>
      </c>
      <c r="L23" s="33">
        <f t="shared" si="7"/>
        <v>-2.4066652656781859E-2</v>
      </c>
      <c r="M23" s="32">
        <f t="shared" si="8"/>
        <v>0</v>
      </c>
    </row>
    <row r="24" spans="1:13" x14ac:dyDescent="0.2">
      <c r="A24" s="18" t="s">
        <v>83</v>
      </c>
      <c r="B24" s="91">
        <v>0</v>
      </c>
      <c r="C24" s="91"/>
      <c r="D24" s="91">
        <v>0</v>
      </c>
      <c r="E24" s="31"/>
      <c r="F24" s="30">
        <f t="shared" si="2"/>
        <v>0</v>
      </c>
      <c r="G24" s="31"/>
      <c r="H24" s="30">
        <f t="shared" si="3"/>
        <v>0</v>
      </c>
      <c r="I24" s="32">
        <f t="shared" si="4"/>
        <v>0</v>
      </c>
      <c r="J24" s="33">
        <f t="shared" si="5"/>
        <v>0</v>
      </c>
      <c r="K24" s="32">
        <f t="shared" si="6"/>
        <v>0</v>
      </c>
      <c r="L24" s="33">
        <f t="shared" si="7"/>
        <v>0</v>
      </c>
      <c r="M24" s="32">
        <f t="shared" si="8"/>
        <v>0</v>
      </c>
    </row>
    <row r="25" spans="1:13" x14ac:dyDescent="0.2">
      <c r="A25" s="18" t="s">
        <v>84</v>
      </c>
      <c r="B25" s="91">
        <v>0</v>
      </c>
      <c r="C25" s="91">
        <v>0</v>
      </c>
      <c r="D25" s="91">
        <v>0</v>
      </c>
      <c r="E25" s="31"/>
      <c r="F25" s="30">
        <f t="shared" si="2"/>
        <v>0</v>
      </c>
      <c r="G25" s="31"/>
      <c r="H25" s="30">
        <f t="shared" si="3"/>
        <v>0</v>
      </c>
      <c r="I25" s="32">
        <f t="shared" si="4"/>
        <v>0</v>
      </c>
      <c r="J25" s="33">
        <f t="shared" si="5"/>
        <v>0</v>
      </c>
      <c r="K25" s="32">
        <f t="shared" si="6"/>
        <v>0</v>
      </c>
      <c r="L25" s="33">
        <f t="shared" si="7"/>
        <v>0</v>
      </c>
      <c r="M25" s="32">
        <f t="shared" si="8"/>
        <v>0</v>
      </c>
    </row>
    <row r="26" spans="1:13" x14ac:dyDescent="0.2">
      <c r="A26" s="23" t="s">
        <v>85</v>
      </c>
      <c r="B26" s="91">
        <v>528900</v>
      </c>
      <c r="C26" s="91"/>
      <c r="D26" s="91">
        <v>1126950</v>
      </c>
      <c r="E26" s="31">
        <f t="shared" si="9"/>
        <v>-1</v>
      </c>
      <c r="F26" s="30">
        <f t="shared" si="2"/>
        <v>528900</v>
      </c>
      <c r="G26" s="31"/>
      <c r="H26" s="30">
        <f t="shared" si="3"/>
        <v>-1126950</v>
      </c>
      <c r="I26" s="32">
        <f t="shared" si="4"/>
        <v>1.6666442042060207E-3</v>
      </c>
      <c r="J26" s="33">
        <f t="shared" si="5"/>
        <v>-1.6666442042060207E-3</v>
      </c>
      <c r="K26" s="32">
        <f t="shared" si="6"/>
        <v>0</v>
      </c>
      <c r="L26" s="33">
        <f t="shared" si="7"/>
        <v>1.1894040861252042E-2</v>
      </c>
      <c r="M26" s="32">
        <f t="shared" si="8"/>
        <v>1.1894040861252042E-2</v>
      </c>
    </row>
    <row r="27" spans="1:13" x14ac:dyDescent="0.2">
      <c r="A27" s="23" t="s">
        <v>80</v>
      </c>
      <c r="B27" s="94">
        <v>18567795</v>
      </c>
      <c r="C27" s="94"/>
      <c r="D27" s="94">
        <v>34401757</v>
      </c>
      <c r="E27" s="31">
        <f t="shared" si="9"/>
        <v>-1</v>
      </c>
      <c r="F27" s="30">
        <f t="shared" si="2"/>
        <v>18567795</v>
      </c>
      <c r="G27" s="31"/>
      <c r="H27" s="30">
        <f t="shared" si="3"/>
        <v>-34401757</v>
      </c>
      <c r="I27" s="32">
        <f t="shared" si="4"/>
        <v>5.8509941239620972E-2</v>
      </c>
      <c r="J27" s="33">
        <f t="shared" si="5"/>
        <v>-5.8509941239620972E-2</v>
      </c>
      <c r="K27" s="32">
        <f t="shared" si="6"/>
        <v>0</v>
      </c>
      <c r="L27" s="33">
        <f t="shared" si="7"/>
        <v>0.36308257106070674</v>
      </c>
      <c r="M27" s="32">
        <f t="shared" si="8"/>
        <v>0.36308257106070674</v>
      </c>
    </row>
    <row r="28" spans="1:13" x14ac:dyDescent="0.2">
      <c r="A28" s="5" t="s">
        <v>81</v>
      </c>
      <c r="B28" s="91">
        <v>5200</v>
      </c>
      <c r="C28" s="91"/>
      <c r="D28" s="91">
        <v>3989500</v>
      </c>
      <c r="E28" s="31">
        <f t="shared" si="9"/>
        <v>-1</v>
      </c>
      <c r="F28" s="30">
        <f t="shared" si="2"/>
        <v>5200</v>
      </c>
      <c r="G28" s="31"/>
      <c r="H28" s="30">
        <f t="shared" si="3"/>
        <v>-3989500</v>
      </c>
      <c r="I28" s="32">
        <f t="shared" si="4"/>
        <v>1.6385989528968249E-5</v>
      </c>
      <c r="J28" s="33">
        <f t="shared" si="5"/>
        <v>-1.6385989528968249E-5</v>
      </c>
      <c r="K28" s="32">
        <f t="shared" si="6"/>
        <v>0</v>
      </c>
      <c r="L28" s="33">
        <f t="shared" si="7"/>
        <v>4.2105928404955875E-2</v>
      </c>
      <c r="M28" s="32">
        <f t="shared" si="8"/>
        <v>4.2105928404955875E-2</v>
      </c>
    </row>
    <row r="29" spans="1:13" x14ac:dyDescent="0.2">
      <c r="A29" s="5" t="s">
        <v>82</v>
      </c>
      <c r="B29" s="91">
        <v>0</v>
      </c>
      <c r="C29" s="91"/>
      <c r="D29" s="91">
        <f>+'[2]ERI2019-2018 (4)'!$C$34</f>
        <v>9635500</v>
      </c>
      <c r="E29" s="31"/>
      <c r="F29" s="30">
        <f t="shared" si="2"/>
        <v>0</v>
      </c>
      <c r="G29" s="31"/>
      <c r="H29" s="30">
        <f t="shared" si="3"/>
        <v>-9635500</v>
      </c>
      <c r="I29" s="32">
        <f t="shared" si="4"/>
        <v>0</v>
      </c>
      <c r="J29" s="33">
        <f t="shared" si="5"/>
        <v>0</v>
      </c>
      <c r="K29" s="32">
        <f t="shared" si="6"/>
        <v>0</v>
      </c>
      <c r="L29" s="33">
        <f t="shared" si="7"/>
        <v>0.10169486731318519</v>
      </c>
      <c r="M29" s="32">
        <f t="shared" si="8"/>
        <v>0.10169486731318519</v>
      </c>
    </row>
    <row r="30" spans="1:13" s="97" customFormat="1" x14ac:dyDescent="0.2">
      <c r="A30" s="5" t="s">
        <v>86</v>
      </c>
      <c r="B30" s="91">
        <v>8689452</v>
      </c>
      <c r="C30" s="91">
        <f>+'[2]ERI2018-2017 (3)'!$C$33</f>
        <v>54249643</v>
      </c>
      <c r="D30" s="91">
        <v>37375338</v>
      </c>
      <c r="E30" s="31">
        <f t="shared" si="9"/>
        <v>5.2431604432592529</v>
      </c>
      <c r="F30" s="30">
        <f t="shared" si="2"/>
        <v>45560191</v>
      </c>
      <c r="G30" s="31">
        <f t="shared" si="10"/>
        <v>-0.31104914367823583</v>
      </c>
      <c r="H30" s="30">
        <f t="shared" si="3"/>
        <v>16874305</v>
      </c>
      <c r="I30" s="32">
        <f t="shared" si="4"/>
        <v>2.7381782593167734E-2</v>
      </c>
      <c r="J30" s="33">
        <f t="shared" si="5"/>
        <v>0.20989071029613343</v>
      </c>
      <c r="K30" s="32">
        <f t="shared" si="6"/>
        <v>0.23727249288930116</v>
      </c>
      <c r="L30" s="33">
        <f t="shared" si="7"/>
        <v>0.15719380763433002</v>
      </c>
      <c r="M30" s="32">
        <f t="shared" si="8"/>
        <v>0.39446630052363119</v>
      </c>
    </row>
    <row r="31" spans="1:13" s="97" customFormat="1" x14ac:dyDescent="0.2">
      <c r="A31" s="5"/>
      <c r="B31" s="91"/>
      <c r="C31" s="91"/>
      <c r="D31" s="91"/>
      <c r="E31" s="31"/>
      <c r="F31" s="30">
        <f t="shared" si="2"/>
        <v>0</v>
      </c>
      <c r="G31" s="31"/>
      <c r="H31" s="30">
        <f t="shared" si="3"/>
        <v>0</v>
      </c>
      <c r="I31" s="32">
        <f t="shared" si="4"/>
        <v>0</v>
      </c>
      <c r="J31" s="33">
        <f t="shared" si="5"/>
        <v>0</v>
      </c>
      <c r="K31" s="32">
        <f t="shared" si="6"/>
        <v>0</v>
      </c>
      <c r="L31" s="33">
        <f t="shared" si="7"/>
        <v>0</v>
      </c>
      <c r="M31" s="32">
        <f t="shared" si="8"/>
        <v>0</v>
      </c>
    </row>
    <row r="32" spans="1:13" s="97" customFormat="1" x14ac:dyDescent="0.2">
      <c r="A32" s="12" t="s">
        <v>87</v>
      </c>
      <c r="B32" s="95">
        <v>28528836</v>
      </c>
      <c r="C32" s="95">
        <f>+'[2]ERI2018-2017 (3)'!$C$35</f>
        <v>96830109</v>
      </c>
      <c r="D32" s="95">
        <v>373181128</v>
      </c>
      <c r="E32" s="31">
        <f t="shared" si="9"/>
        <v>2.3941135558422362</v>
      </c>
      <c r="F32" s="30">
        <f t="shared" si="2"/>
        <v>68301273</v>
      </c>
      <c r="G32" s="31">
        <f t="shared" si="10"/>
        <v>2.8539781877143193</v>
      </c>
      <c r="H32" s="30">
        <f t="shared" si="3"/>
        <v>-276351019</v>
      </c>
      <c r="I32" s="32">
        <f t="shared" si="4"/>
        <v>8.9898693840317775E-2</v>
      </c>
      <c r="J32" s="33">
        <f t="shared" si="5"/>
        <v>0.33360863410970681</v>
      </c>
      <c r="K32" s="32">
        <f t="shared" si="6"/>
        <v>0.4235073279500246</v>
      </c>
      <c r="L32" s="33">
        <f t="shared" si="7"/>
        <v>3.5151160227577516</v>
      </c>
      <c r="M32" s="32">
        <f t="shared" si="8"/>
        <v>3.9386233507077764</v>
      </c>
    </row>
    <row r="33" spans="1:13" s="97" customFormat="1" x14ac:dyDescent="0.2">
      <c r="A33" s="12"/>
      <c r="B33" s="95"/>
      <c r="C33" s="95"/>
      <c r="D33" s="95"/>
      <c r="E33" s="31"/>
      <c r="F33" s="30">
        <f t="shared" si="2"/>
        <v>0</v>
      </c>
      <c r="G33" s="31"/>
      <c r="H33" s="30">
        <f t="shared" si="3"/>
        <v>0</v>
      </c>
      <c r="I33" s="32">
        <f t="shared" si="4"/>
        <v>0</v>
      </c>
      <c r="J33" s="33">
        <f t="shared" si="5"/>
        <v>0</v>
      </c>
      <c r="K33" s="32">
        <f t="shared" si="6"/>
        <v>0</v>
      </c>
      <c r="L33" s="33">
        <f t="shared" si="7"/>
        <v>0</v>
      </c>
      <c r="M33" s="32">
        <f t="shared" si="8"/>
        <v>0</v>
      </c>
    </row>
    <row r="34" spans="1:13" x14ac:dyDescent="0.2">
      <c r="A34" s="12" t="s">
        <v>88</v>
      </c>
      <c r="B34" s="95">
        <v>20371057</v>
      </c>
      <c r="C34" s="95">
        <f>+'[2]ERI2018-2017 (3)'!$C$37</f>
        <v>15771443</v>
      </c>
      <c r="D34" s="95">
        <v>-344046518</v>
      </c>
      <c r="E34" s="31">
        <f t="shared" si="9"/>
        <v>-0.22579162190749355</v>
      </c>
      <c r="F34" s="30">
        <f t="shared" si="2"/>
        <v>4599614</v>
      </c>
      <c r="G34" s="31">
        <f t="shared" si="10"/>
        <v>-22.814523756640405</v>
      </c>
      <c r="H34" s="30">
        <f t="shared" si="3"/>
        <v>359817961</v>
      </c>
      <c r="I34" s="32">
        <f t="shared" si="4"/>
        <v>6.419229359538757E-2</v>
      </c>
      <c r="J34" s="33">
        <f t="shared" si="5"/>
        <v>4.7875077476649264E-3</v>
      </c>
      <c r="K34" s="32">
        <f t="shared" si="6"/>
        <v>6.8979801343052496E-2</v>
      </c>
      <c r="L34" s="33">
        <f t="shared" si="7"/>
        <v>3.5621514318647085</v>
      </c>
      <c r="M34" s="32">
        <f t="shared" si="8"/>
        <v>3.631131233207761</v>
      </c>
    </row>
    <row r="35" spans="1:13" x14ac:dyDescent="0.2">
      <c r="A35" s="12"/>
      <c r="B35" s="91"/>
      <c r="C35" s="91"/>
      <c r="D35" s="91"/>
      <c r="E35" s="31"/>
      <c r="F35" s="30">
        <f t="shared" si="2"/>
        <v>0</v>
      </c>
      <c r="G35" s="31"/>
      <c r="H35" s="30">
        <f t="shared" si="3"/>
        <v>0</v>
      </c>
      <c r="I35" s="32">
        <f t="shared" si="4"/>
        <v>0</v>
      </c>
      <c r="J35" s="33">
        <f t="shared" si="5"/>
        <v>0</v>
      </c>
      <c r="K35" s="32">
        <f t="shared" si="6"/>
        <v>0</v>
      </c>
      <c r="L35" s="33">
        <f t="shared" si="7"/>
        <v>0</v>
      </c>
      <c r="M35" s="32">
        <f t="shared" si="8"/>
        <v>0</v>
      </c>
    </row>
    <row r="36" spans="1:13" x14ac:dyDescent="0.2">
      <c r="A36" s="12" t="s">
        <v>89</v>
      </c>
      <c r="B36" s="91"/>
      <c r="C36" s="91"/>
      <c r="D36" s="91"/>
      <c r="E36" s="31"/>
      <c r="F36" s="30">
        <f t="shared" si="2"/>
        <v>0</v>
      </c>
      <c r="G36" s="31"/>
      <c r="H36" s="30">
        <f t="shared" si="3"/>
        <v>0</v>
      </c>
      <c r="I36" s="32">
        <f t="shared" si="4"/>
        <v>0</v>
      </c>
      <c r="J36" s="33">
        <f t="shared" si="5"/>
        <v>0</v>
      </c>
      <c r="K36" s="32">
        <f t="shared" si="6"/>
        <v>0</v>
      </c>
      <c r="L36" s="33">
        <f t="shared" si="7"/>
        <v>0</v>
      </c>
      <c r="M36" s="32">
        <f t="shared" si="8"/>
        <v>0</v>
      </c>
    </row>
    <row r="37" spans="1:13" x14ac:dyDescent="0.2">
      <c r="A37" s="5" t="s">
        <v>90</v>
      </c>
      <c r="B37" s="91">
        <v>245174</v>
      </c>
      <c r="C37" s="91">
        <v>30030193</v>
      </c>
      <c r="D37" s="91">
        <v>84223551</v>
      </c>
      <c r="E37" s="31">
        <f t="shared" si="9"/>
        <v>121.48522681850442</v>
      </c>
      <c r="F37" s="30">
        <f t="shared" si="2"/>
        <v>29785019</v>
      </c>
      <c r="G37" s="31">
        <f t="shared" si="10"/>
        <v>1.8046290278587287</v>
      </c>
      <c r="H37" s="30">
        <f t="shared" si="3"/>
        <v>-54193358</v>
      </c>
      <c r="I37" s="32">
        <f t="shared" si="4"/>
        <v>7.7258049937985803E-4</v>
      </c>
      <c r="J37" s="33">
        <f t="shared" si="5"/>
        <v>0.13057093368848016</v>
      </c>
      <c r="K37" s="32">
        <f t="shared" si="6"/>
        <v>0.13134351418786003</v>
      </c>
      <c r="L37" s="33">
        <f t="shared" si="7"/>
        <v>0.75756757953745635</v>
      </c>
      <c r="M37" s="32">
        <f t="shared" si="8"/>
        <v>0.8889110937253164</v>
      </c>
    </row>
    <row r="38" spans="1:13" x14ac:dyDescent="0.2">
      <c r="A38" s="5" t="str">
        <f>+'[2]ERI2019-2018 (4)'!$A$43</f>
        <v>Extraordinarios</v>
      </c>
      <c r="B38" s="91"/>
      <c r="C38" s="91">
        <v>1000000000</v>
      </c>
      <c r="D38" s="91">
        <v>279103</v>
      </c>
      <c r="E38" s="31"/>
      <c r="F38" s="30">
        <f t="shared" si="2"/>
        <v>1000000000</v>
      </c>
      <c r="G38" s="31">
        <f t="shared" si="10"/>
        <v>-0.999720897</v>
      </c>
      <c r="H38" s="30">
        <f t="shared" si="3"/>
        <v>999720897</v>
      </c>
      <c r="I38" s="32">
        <f t="shared" si="4"/>
        <v>0</v>
      </c>
      <c r="J38" s="33">
        <f t="shared" si="5"/>
        <v>4.3737152867402491</v>
      </c>
      <c r="K38" s="32">
        <f t="shared" si="6"/>
        <v>4.3737152867402491</v>
      </c>
      <c r="L38" s="33">
        <f t="shared" si="7"/>
        <v>-4.3707695815301708</v>
      </c>
      <c r="M38" s="32">
        <f t="shared" si="8"/>
        <v>2.945705210078556E-3</v>
      </c>
    </row>
    <row r="39" spans="1:13" x14ac:dyDescent="0.2">
      <c r="A39" s="5" t="str">
        <f>+'[2]ERI2019-2018 (4)'!$A$44</f>
        <v>Diversos</v>
      </c>
      <c r="B39" s="91"/>
      <c r="C39" s="91">
        <v>22854600</v>
      </c>
      <c r="D39" s="91">
        <v>9941200</v>
      </c>
      <c r="E39" s="31"/>
      <c r="F39" s="30">
        <f t="shared" si="2"/>
        <v>22854600</v>
      </c>
      <c r="G39" s="31">
        <f t="shared" si="10"/>
        <v>-0.56502410893211874</v>
      </c>
      <c r="H39" s="30">
        <f t="shared" si="3"/>
        <v>12913400</v>
      </c>
      <c r="I39" s="32">
        <f t="shared" si="4"/>
        <v>0</v>
      </c>
      <c r="J39" s="33">
        <f t="shared" si="5"/>
        <v>9.9959513392333707E-2</v>
      </c>
      <c r="K39" s="32">
        <f t="shared" si="6"/>
        <v>9.9959513392333707E-2</v>
      </c>
      <c r="L39" s="33">
        <f t="shared" si="7"/>
        <v>4.9617688383586933E-3</v>
      </c>
      <c r="M39" s="32">
        <f t="shared" si="8"/>
        <v>0.1049212822306924</v>
      </c>
    </row>
    <row r="40" spans="1:13" x14ac:dyDescent="0.2">
      <c r="A40" s="12" t="s">
        <v>91</v>
      </c>
      <c r="B40" s="91"/>
      <c r="C40" s="91"/>
      <c r="D40" s="91"/>
      <c r="E40" s="31"/>
      <c r="F40" s="30">
        <f t="shared" si="2"/>
        <v>0</v>
      </c>
      <c r="G40" s="31"/>
      <c r="H40" s="30">
        <f t="shared" si="3"/>
        <v>0</v>
      </c>
      <c r="I40" s="32">
        <f t="shared" si="4"/>
        <v>0</v>
      </c>
      <c r="J40" s="33">
        <f t="shared" si="5"/>
        <v>0</v>
      </c>
      <c r="K40" s="32">
        <f t="shared" si="6"/>
        <v>0</v>
      </c>
      <c r="L40" s="33">
        <f t="shared" si="7"/>
        <v>0</v>
      </c>
      <c r="M40" s="32">
        <f t="shared" si="8"/>
        <v>0</v>
      </c>
    </row>
    <row r="41" spans="1:13" x14ac:dyDescent="0.2">
      <c r="A41" s="5" t="s">
        <v>92</v>
      </c>
      <c r="B41" s="91">
        <v>17074117</v>
      </c>
      <c r="C41" s="91">
        <v>17819799</v>
      </c>
      <c r="D41" s="91">
        <f>+'[2]ERI2019-2018 (4)'!$C$46</f>
        <v>13785480</v>
      </c>
      <c r="E41" s="31">
        <f t="shared" si="9"/>
        <v>4.3673239441899103E-2</v>
      </c>
      <c r="F41" s="30">
        <f t="shared" si="2"/>
        <v>745682</v>
      </c>
      <c r="G41" s="31">
        <f t="shared" si="10"/>
        <v>-0.22639531455994538</v>
      </c>
      <c r="H41" s="30">
        <f t="shared" si="3"/>
        <v>4034319</v>
      </c>
      <c r="I41" s="32">
        <f t="shared" si="4"/>
        <v>5.380313507276515E-2</v>
      </c>
      <c r="J41" s="33">
        <f t="shared" si="5"/>
        <v>2.4135592220173453E-2</v>
      </c>
      <c r="K41" s="32">
        <f t="shared" si="6"/>
        <v>7.7938727292938603E-2</v>
      </c>
      <c r="L41" s="33">
        <f t="shared" si="7"/>
        <v>6.7555804329558239E-2</v>
      </c>
      <c r="M41" s="32">
        <f t="shared" si="8"/>
        <v>0.14549453162249684</v>
      </c>
    </row>
    <row r="42" spans="1:13" x14ac:dyDescent="0.2">
      <c r="A42" s="12" t="str">
        <f>+'[2]ERI2018-2017 (3)'!$A$45</f>
        <v>Utilidad en Venta de Propiedad</v>
      </c>
      <c r="B42" s="95"/>
      <c r="C42" s="95">
        <f>+'[2]ERI2018-2017 (3)'!$C$45</f>
        <v>279070000</v>
      </c>
      <c r="D42" s="95"/>
      <c r="E42" s="31"/>
      <c r="F42" s="30">
        <f t="shared" si="2"/>
        <v>279070000</v>
      </c>
      <c r="G42" s="31">
        <f t="shared" si="10"/>
        <v>-1</v>
      </c>
      <c r="H42" s="30">
        <f t="shared" si="3"/>
        <v>279070000</v>
      </c>
      <c r="I42" s="32">
        <f t="shared" si="4"/>
        <v>0</v>
      </c>
      <c r="J42" s="33">
        <f t="shared" si="5"/>
        <v>1.2205727250706013</v>
      </c>
      <c r="K42" s="32">
        <f t="shared" si="6"/>
        <v>1.2205727250706013</v>
      </c>
      <c r="L42" s="33">
        <f t="shared" si="7"/>
        <v>-1.2205727250706013</v>
      </c>
      <c r="M42" s="32">
        <f t="shared" si="8"/>
        <v>0</v>
      </c>
    </row>
    <row r="43" spans="1:13" x14ac:dyDescent="0.2">
      <c r="A43" s="5" t="str">
        <f>+'[2]ERI2018-2017 (3)'!$A$46</f>
        <v>Indemnizaciones</v>
      </c>
      <c r="B43" s="91"/>
      <c r="C43" s="91">
        <f>+'[2]ERI2018-2017 (3)'!$C$46</f>
        <v>6698950</v>
      </c>
      <c r="D43" s="91"/>
      <c r="E43" s="31"/>
      <c r="F43" s="30">
        <f t="shared" si="2"/>
        <v>6698950</v>
      </c>
      <c r="G43" s="31">
        <f t="shared" si="10"/>
        <v>-1</v>
      </c>
      <c r="H43" s="30">
        <f t="shared" si="3"/>
        <v>6698950</v>
      </c>
      <c r="I43" s="32">
        <f t="shared" si="4"/>
        <v>0</v>
      </c>
      <c r="J43" s="33">
        <f t="shared" si="5"/>
        <v>2.9299300020108592E-2</v>
      </c>
      <c r="K43" s="32">
        <f t="shared" si="6"/>
        <v>2.9299300020108592E-2</v>
      </c>
      <c r="L43" s="33">
        <f t="shared" si="7"/>
        <v>-2.9299300020108592E-2</v>
      </c>
      <c r="M43" s="32">
        <f t="shared" si="8"/>
        <v>0</v>
      </c>
    </row>
    <row r="44" spans="1:13" x14ac:dyDescent="0.2">
      <c r="A44" s="5" t="s">
        <v>93</v>
      </c>
      <c r="B44" s="91"/>
      <c r="C44" s="91"/>
      <c r="D44" s="91"/>
      <c r="E44" s="31"/>
      <c r="F44" s="30">
        <f t="shared" si="2"/>
        <v>0</v>
      </c>
      <c r="G44" s="31"/>
      <c r="H44" s="30">
        <f t="shared" si="3"/>
        <v>0</v>
      </c>
      <c r="I44" s="32">
        <f t="shared" si="4"/>
        <v>0</v>
      </c>
      <c r="J44" s="33">
        <f t="shared" si="5"/>
        <v>0</v>
      </c>
      <c r="K44" s="32">
        <f t="shared" si="6"/>
        <v>0</v>
      </c>
      <c r="L44" s="33">
        <f t="shared" si="7"/>
        <v>0</v>
      </c>
      <c r="M44" s="32">
        <f t="shared" si="8"/>
        <v>0</v>
      </c>
    </row>
    <row r="45" spans="1:13" x14ac:dyDescent="0.2">
      <c r="A45" s="5" t="str">
        <f>+'[2]ERI2019-2018 (4)'!$A$47</f>
        <v>Aprovechamientos</v>
      </c>
      <c r="B45" s="91">
        <v>0</v>
      </c>
      <c r="C45" s="91"/>
      <c r="D45" s="91">
        <v>413</v>
      </c>
      <c r="E45" s="31"/>
      <c r="F45" s="30">
        <f t="shared" si="2"/>
        <v>0</v>
      </c>
      <c r="G45" s="31"/>
      <c r="H45" s="30">
        <f t="shared" si="3"/>
        <v>-413</v>
      </c>
      <c r="I45" s="32">
        <f t="shared" si="4"/>
        <v>0</v>
      </c>
      <c r="J45" s="33">
        <f t="shared" si="5"/>
        <v>0</v>
      </c>
      <c r="K45" s="32">
        <f t="shared" si="6"/>
        <v>0</v>
      </c>
      <c r="L45" s="33">
        <f t="shared" si="7"/>
        <v>4.3588791656214507E-6</v>
      </c>
      <c r="M45" s="32">
        <f t="shared" si="8"/>
        <v>4.3588791656214507E-6</v>
      </c>
    </row>
    <row r="46" spans="1:13" x14ac:dyDescent="0.2">
      <c r="A46" s="12" t="s">
        <v>94</v>
      </c>
      <c r="B46" s="95">
        <v>37200000</v>
      </c>
      <c r="C46" s="95">
        <f>+'[2]ERI2018-2017 (3)'!$C$48</f>
        <v>-733524601</v>
      </c>
      <c r="D46" s="95">
        <v>-424704479</v>
      </c>
      <c r="E46" s="31">
        <f t="shared" si="9"/>
        <v>-20.718403252688173</v>
      </c>
      <c r="F46" s="30">
        <f t="shared" si="2"/>
        <v>770724601</v>
      </c>
      <c r="G46" s="31">
        <f t="shared" si="10"/>
        <v>-0.42100854092554152</v>
      </c>
      <c r="H46" s="30">
        <f t="shared" si="3"/>
        <v>-308820122</v>
      </c>
      <c r="I46" s="32">
        <f t="shared" si="4"/>
        <v>0.11722284816877288</v>
      </c>
      <c r="J46" s="33">
        <f t="shared" si="5"/>
        <v>3.0910049124249692</v>
      </c>
      <c r="K46" s="32">
        <f t="shared" si="6"/>
        <v>3.2082277605937422</v>
      </c>
      <c r="L46" s="33">
        <f t="shared" si="7"/>
        <v>1.2741826632784439</v>
      </c>
      <c r="M46" s="32">
        <f t="shared" si="8"/>
        <v>4.482410423872186</v>
      </c>
    </row>
    <row r="47" spans="1:13" x14ac:dyDescent="0.2">
      <c r="A47" s="5"/>
      <c r="B47" s="91"/>
      <c r="C47" s="91"/>
      <c r="D47" s="91"/>
      <c r="E47" s="31"/>
      <c r="F47" s="30">
        <f t="shared" si="2"/>
        <v>0</v>
      </c>
      <c r="G47" s="31"/>
      <c r="H47" s="30">
        <f t="shared" si="3"/>
        <v>0</v>
      </c>
      <c r="I47" s="32">
        <f t="shared" si="4"/>
        <v>0</v>
      </c>
      <c r="J47" s="33">
        <f t="shared" si="5"/>
        <v>0</v>
      </c>
      <c r="K47" s="32">
        <f t="shared" si="6"/>
        <v>0</v>
      </c>
      <c r="L47" s="33">
        <f t="shared" si="7"/>
        <v>0</v>
      </c>
      <c r="M47" s="32">
        <f t="shared" si="8"/>
        <v>0</v>
      </c>
    </row>
    <row r="48" spans="1:13" x14ac:dyDescent="0.2">
      <c r="A48" s="12" t="s">
        <v>95</v>
      </c>
      <c r="B48" s="95"/>
      <c r="C48" s="95"/>
      <c r="D48" s="95"/>
      <c r="E48" s="31"/>
      <c r="F48" s="30">
        <f t="shared" si="2"/>
        <v>0</v>
      </c>
      <c r="G48" s="31"/>
      <c r="H48" s="30">
        <f t="shared" si="3"/>
        <v>0</v>
      </c>
      <c r="I48" s="32">
        <f t="shared" si="4"/>
        <v>0</v>
      </c>
      <c r="J48" s="33">
        <f t="shared" si="5"/>
        <v>0</v>
      </c>
      <c r="K48" s="32">
        <f t="shared" si="6"/>
        <v>0</v>
      </c>
      <c r="L48" s="33">
        <f t="shared" si="7"/>
        <v>0</v>
      </c>
      <c r="M48" s="32">
        <f t="shared" si="8"/>
        <v>0</v>
      </c>
    </row>
    <row r="49" spans="1:13" x14ac:dyDescent="0.2">
      <c r="A49" s="12" t="s">
        <v>96</v>
      </c>
      <c r="B49" s="95"/>
      <c r="C49" s="95"/>
      <c r="D49" s="95"/>
      <c r="E49" s="31"/>
      <c r="F49" s="30">
        <f t="shared" si="2"/>
        <v>0</v>
      </c>
      <c r="G49" s="31"/>
      <c r="H49" s="30">
        <f t="shared" si="3"/>
        <v>0</v>
      </c>
      <c r="I49" s="32">
        <f t="shared" si="4"/>
        <v>0</v>
      </c>
      <c r="J49" s="33">
        <f t="shared" si="5"/>
        <v>0</v>
      </c>
      <c r="K49" s="32">
        <f t="shared" si="6"/>
        <v>0</v>
      </c>
      <c r="L49" s="33">
        <f t="shared" si="7"/>
        <v>0</v>
      </c>
      <c r="M49" s="32">
        <f t="shared" si="8"/>
        <v>0</v>
      </c>
    </row>
    <row r="50" spans="1:13" x14ac:dyDescent="0.2">
      <c r="A50" s="5" t="s">
        <v>97</v>
      </c>
      <c r="B50" s="91">
        <v>12648000</v>
      </c>
      <c r="C50" s="91">
        <v>13233000</v>
      </c>
      <c r="D50" s="91"/>
      <c r="E50" s="31">
        <f t="shared" si="9"/>
        <v>4.6252371916508536E-2</v>
      </c>
      <c r="F50" s="30">
        <f t="shared" si="2"/>
        <v>585000</v>
      </c>
      <c r="G50" s="31">
        <f t="shared" si="10"/>
        <v>-1</v>
      </c>
      <c r="H50" s="30">
        <f t="shared" si="3"/>
        <v>13233000</v>
      </c>
      <c r="I50" s="32">
        <f t="shared" si="4"/>
        <v>3.9855768377382778E-2</v>
      </c>
      <c r="J50" s="33">
        <f t="shared" si="5"/>
        <v>1.8021606012050939E-2</v>
      </c>
      <c r="K50" s="32">
        <f t="shared" si="6"/>
        <v>5.7877374389433717E-2</v>
      </c>
      <c r="L50" s="33">
        <f t="shared" si="7"/>
        <v>-5.7877374389433717E-2</v>
      </c>
      <c r="M50" s="32">
        <f t="shared" si="8"/>
        <v>0</v>
      </c>
    </row>
    <row r="51" spans="1:13" x14ac:dyDescent="0.2">
      <c r="A51" s="5" t="str">
        <f>+'[2]ERI2018-2017 (3)'!$A$53</f>
        <v>Impuesto Ganancia Ocasional</v>
      </c>
      <c r="B51" s="91"/>
      <c r="C51" s="91">
        <v>11884000</v>
      </c>
      <c r="D51" s="91"/>
      <c r="E51" s="31"/>
      <c r="F51" s="30">
        <f t="shared" si="2"/>
        <v>11884000</v>
      </c>
      <c r="G51" s="31">
        <f t="shared" si="10"/>
        <v>-1</v>
      </c>
      <c r="H51" s="30">
        <f t="shared" si="3"/>
        <v>11884000</v>
      </c>
      <c r="I51" s="32">
        <f t="shared" si="4"/>
        <v>0</v>
      </c>
      <c r="J51" s="33">
        <f t="shared" si="5"/>
        <v>5.1977232467621121E-2</v>
      </c>
      <c r="K51" s="32">
        <f t="shared" si="6"/>
        <v>5.1977232467621121E-2</v>
      </c>
      <c r="L51" s="33">
        <f t="shared" si="7"/>
        <v>-5.1977232467621121E-2</v>
      </c>
      <c r="M51" s="32">
        <f t="shared" si="8"/>
        <v>0</v>
      </c>
    </row>
    <row r="52" spans="1:13" x14ac:dyDescent="0.2">
      <c r="A52" s="5" t="s">
        <v>98</v>
      </c>
      <c r="B52" s="91">
        <v>0</v>
      </c>
      <c r="C52" s="91"/>
      <c r="D52" s="91"/>
      <c r="E52" s="31"/>
      <c r="F52" s="30">
        <f t="shared" si="2"/>
        <v>0</v>
      </c>
      <c r="G52" s="31"/>
      <c r="H52" s="30">
        <f t="shared" si="3"/>
        <v>0</v>
      </c>
      <c r="I52" s="32">
        <f t="shared" si="4"/>
        <v>0</v>
      </c>
      <c r="J52" s="33">
        <f t="shared" si="5"/>
        <v>0</v>
      </c>
      <c r="K52" s="32">
        <f t="shared" si="6"/>
        <v>0</v>
      </c>
      <c r="L52" s="33">
        <f t="shared" si="7"/>
        <v>0</v>
      </c>
      <c r="M52" s="32">
        <f t="shared" si="8"/>
        <v>0</v>
      </c>
    </row>
    <row r="53" spans="1:13" x14ac:dyDescent="0.2">
      <c r="A53" s="5" t="s">
        <v>99</v>
      </c>
      <c r="B53" s="91">
        <v>-4065586</v>
      </c>
      <c r="C53" s="91">
        <f>+'[2]ERI2018-2017 (3)'!$C$54</f>
        <v>-11703593</v>
      </c>
      <c r="D53" s="91"/>
      <c r="E53" s="31">
        <f t="shared" si="9"/>
        <v>1.8786976834335813</v>
      </c>
      <c r="F53" s="30">
        <f t="shared" si="2"/>
        <v>7638007</v>
      </c>
      <c r="G53" s="31">
        <f t="shared" si="10"/>
        <v>-1</v>
      </c>
      <c r="H53" s="30">
        <f t="shared" si="3"/>
        <v>-11703593</v>
      </c>
      <c r="I53" s="32">
        <f t="shared" si="4"/>
        <v>1.2811278774061522E-2</v>
      </c>
      <c r="J53" s="33">
        <f t="shared" si="5"/>
        <v>3.8376904839824658E-2</v>
      </c>
      <c r="K53" s="32">
        <f t="shared" si="6"/>
        <v>5.1188183613886176E-2</v>
      </c>
      <c r="L53" s="33">
        <f t="shared" si="7"/>
        <v>-5.1188183613886176E-2</v>
      </c>
      <c r="M53" s="32">
        <f t="shared" si="8"/>
        <v>0</v>
      </c>
    </row>
    <row r="54" spans="1:13" x14ac:dyDescent="0.2">
      <c r="A54" s="5"/>
      <c r="B54" s="91"/>
      <c r="C54" s="91"/>
      <c r="D54" s="91"/>
      <c r="E54" s="31"/>
      <c r="F54" s="30">
        <f t="shared" si="2"/>
        <v>0</v>
      </c>
      <c r="G54" s="31"/>
      <c r="H54" s="30">
        <f t="shared" si="3"/>
        <v>0</v>
      </c>
      <c r="I54" s="32">
        <f t="shared" si="4"/>
        <v>0</v>
      </c>
      <c r="J54" s="33">
        <f t="shared" si="5"/>
        <v>0</v>
      </c>
      <c r="K54" s="32">
        <f t="shared" si="6"/>
        <v>0</v>
      </c>
      <c r="L54" s="33">
        <f t="shared" si="7"/>
        <v>0</v>
      </c>
      <c r="M54" s="32">
        <f t="shared" si="8"/>
        <v>0</v>
      </c>
    </row>
    <row r="55" spans="1:13" x14ac:dyDescent="0.2">
      <c r="A55" s="12" t="s">
        <v>100</v>
      </c>
      <c r="B55" s="95">
        <v>28617586</v>
      </c>
      <c r="C55" s="95">
        <f>+'[2]ERI2018-2017 (3)'!$C$56</f>
        <v>-746938008</v>
      </c>
      <c r="D55" s="95">
        <v>-424704479</v>
      </c>
      <c r="E55" s="31">
        <f t="shared" si="9"/>
        <v>-27.100664395662164</v>
      </c>
      <c r="F55" s="30">
        <f t="shared" si="2"/>
        <v>775555594</v>
      </c>
      <c r="G55" s="31">
        <f t="shared" si="10"/>
        <v>-0.43140598757695031</v>
      </c>
      <c r="H55" s="30">
        <f t="shared" si="3"/>
        <v>-322233529</v>
      </c>
      <c r="I55" s="32">
        <f t="shared" si="4"/>
        <v>9.0178358565451616E-2</v>
      </c>
      <c r="J55" s="33">
        <f t="shared" si="5"/>
        <v>3.1767158252714593</v>
      </c>
      <c r="K55" s="32">
        <f t="shared" si="6"/>
        <v>3.2668941838369108</v>
      </c>
      <c r="L55" s="33">
        <f t="shared" si="7"/>
        <v>1.2155162400352753</v>
      </c>
      <c r="M55" s="32">
        <f t="shared" si="8"/>
        <v>4.482410423872186</v>
      </c>
    </row>
  </sheetData>
  <mergeCells count="4">
    <mergeCell ref="A1:F1"/>
    <mergeCell ref="A3:D3"/>
    <mergeCell ref="E3:H3"/>
    <mergeCell ref="I3:M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O70"/>
  <sheetViews>
    <sheetView showGridLines="0" topLeftCell="C1" zoomScale="87" zoomScaleNormal="55" workbookViewId="0">
      <selection sqref="A1:XFD1"/>
    </sheetView>
  </sheetViews>
  <sheetFormatPr baseColWidth="10" defaultRowHeight="12.75" x14ac:dyDescent="0.2"/>
  <cols>
    <col min="1" max="1" width="19" style="153" customWidth="1"/>
    <col min="2" max="9" width="16.5703125" style="63" bestFit="1" customWidth="1"/>
    <col min="10" max="15" width="16.5703125" style="21" bestFit="1" customWidth="1"/>
    <col min="16" max="16384" width="11.42578125" style="21"/>
  </cols>
  <sheetData>
    <row r="1" spans="1:15" ht="51" customHeight="1" x14ac:dyDescent="0.25">
      <c r="A1" s="164" t="s">
        <v>160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3" spans="1:15" x14ac:dyDescent="0.2">
      <c r="A3" s="148"/>
      <c r="B3" s="119" t="s">
        <v>57</v>
      </c>
      <c r="C3" s="120" t="s">
        <v>129</v>
      </c>
      <c r="D3" s="119" t="s">
        <v>130</v>
      </c>
      <c r="E3" s="120" t="s">
        <v>131</v>
      </c>
      <c r="F3" s="119" t="s">
        <v>132</v>
      </c>
      <c r="G3" s="120" t="s">
        <v>133</v>
      </c>
      <c r="H3" s="119" t="s">
        <v>143</v>
      </c>
      <c r="I3" s="120" t="s">
        <v>144</v>
      </c>
      <c r="J3" s="119" t="s">
        <v>145</v>
      </c>
      <c r="K3" s="120" t="s">
        <v>146</v>
      </c>
      <c r="L3" s="119" t="s">
        <v>147</v>
      </c>
      <c r="M3" s="120" t="s">
        <v>148</v>
      </c>
      <c r="N3" s="119" t="s">
        <v>149</v>
      </c>
      <c r="O3" s="120" t="s">
        <v>150</v>
      </c>
    </row>
    <row r="4" spans="1:15" x14ac:dyDescent="0.2">
      <c r="A4" s="149" t="s">
        <v>0</v>
      </c>
      <c r="B4" s="6"/>
      <c r="C4" s="6"/>
      <c r="D4" s="6"/>
      <c r="E4" s="6"/>
      <c r="F4" s="7"/>
      <c r="G4" s="6"/>
      <c r="H4" s="7"/>
      <c r="I4" s="6"/>
      <c r="J4" s="6"/>
      <c r="K4" s="5"/>
      <c r="L4" s="5"/>
      <c r="M4" s="5"/>
      <c r="N4" s="5"/>
      <c r="O4" s="5"/>
    </row>
    <row r="5" spans="1:15" x14ac:dyDescent="0.2">
      <c r="A5" s="150" t="s">
        <v>1</v>
      </c>
      <c r="B5" s="6"/>
      <c r="C5" s="6"/>
      <c r="D5" s="6"/>
      <c r="E5" s="6"/>
      <c r="F5" s="7"/>
      <c r="G5" s="6"/>
      <c r="H5" s="7"/>
      <c r="I5" s="6"/>
      <c r="J5" s="6"/>
      <c r="K5" s="5"/>
      <c r="L5" s="5"/>
      <c r="M5" s="5"/>
      <c r="N5" s="5"/>
      <c r="O5" s="5"/>
    </row>
    <row r="6" spans="1:15" ht="38.25" x14ac:dyDescent="0.2">
      <c r="A6" s="17" t="str">
        <f>+[1]ESF2015!$A$9</f>
        <v>Efectivo y equivalente a efectivo</v>
      </c>
      <c r="B6" s="15">
        <f>+'[2]ESF2019-2018 (4)'!$C$10</f>
        <v>287110301</v>
      </c>
      <c r="C6" s="15">
        <f>+B6*1.03</f>
        <v>295723610.03000003</v>
      </c>
      <c r="D6" s="15">
        <f t="shared" ref="D6:E6" si="0">+C6*1.03</f>
        <v>304595318.33090001</v>
      </c>
      <c r="E6" s="15">
        <f t="shared" si="0"/>
        <v>313733177.88082701</v>
      </c>
      <c r="F6" s="14">
        <f>+E6*1.03</f>
        <v>323145173.21725184</v>
      </c>
      <c r="G6" s="14">
        <f t="shared" ref="G6:K6" si="1">+F6*1.03</f>
        <v>332839528.41376942</v>
      </c>
      <c r="H6" s="14">
        <f t="shared" si="1"/>
        <v>342824714.26618254</v>
      </c>
      <c r="I6" s="14">
        <f t="shared" si="1"/>
        <v>353109455.69416803</v>
      </c>
      <c r="J6" s="14">
        <f t="shared" si="1"/>
        <v>363702739.3649931</v>
      </c>
      <c r="K6" s="14">
        <f t="shared" si="1"/>
        <v>374613821.5459429</v>
      </c>
      <c r="L6" s="14">
        <f t="shared" ref="L6:L17" si="2">+K6*1.03</f>
        <v>385852236.19232118</v>
      </c>
      <c r="M6" s="14">
        <f t="shared" ref="M6:M17" si="3">+L6*1.03</f>
        <v>397427803.27809083</v>
      </c>
      <c r="N6" s="14">
        <f t="shared" ref="N6:N17" si="4">+M6*1.03</f>
        <v>409350637.37643355</v>
      </c>
      <c r="O6" s="14">
        <f t="shared" ref="O6:O17" si="5">+N6*1.03</f>
        <v>421631156.49772656</v>
      </c>
    </row>
    <row r="7" spans="1:15" x14ac:dyDescent="0.2">
      <c r="A7" s="18" t="str">
        <f>+[1]ESF2015!$A$10</f>
        <v>Caja General</v>
      </c>
      <c r="B7" s="6">
        <f>+'[2]ESF2019-2018 (4)'!$C$11</f>
        <v>190749261</v>
      </c>
      <c r="C7" s="6">
        <f t="shared" ref="C7:F17" si="6">+B7*1.03</f>
        <v>196471738.83000001</v>
      </c>
      <c r="D7" s="6">
        <f t="shared" si="6"/>
        <v>202365890.99490002</v>
      </c>
      <c r="E7" s="6">
        <f t="shared" si="6"/>
        <v>208436867.72474703</v>
      </c>
      <c r="F7" s="7">
        <f t="shared" si="6"/>
        <v>214689973.75648946</v>
      </c>
      <c r="G7" s="7">
        <f t="shared" ref="G7:K7" si="7">+F7*1.03</f>
        <v>221130672.96918413</v>
      </c>
      <c r="H7" s="7">
        <f t="shared" si="7"/>
        <v>227764593.15825966</v>
      </c>
      <c r="I7" s="7">
        <f t="shared" si="7"/>
        <v>234597530.95300746</v>
      </c>
      <c r="J7" s="7">
        <f t="shared" si="7"/>
        <v>241635456.8815977</v>
      </c>
      <c r="K7" s="7">
        <f t="shared" si="7"/>
        <v>248884520.58804563</v>
      </c>
      <c r="L7" s="7">
        <f t="shared" si="2"/>
        <v>256351056.20568702</v>
      </c>
      <c r="M7" s="7">
        <f t="shared" si="3"/>
        <v>264041587.89185762</v>
      </c>
      <c r="N7" s="7">
        <f t="shared" si="4"/>
        <v>271962835.52861339</v>
      </c>
      <c r="O7" s="7">
        <f t="shared" si="5"/>
        <v>280121720.59447181</v>
      </c>
    </row>
    <row r="8" spans="1:15" x14ac:dyDescent="0.2">
      <c r="A8" s="18" t="str">
        <f>+[1]ESF2015!$A$11</f>
        <v>Bancos</v>
      </c>
      <c r="B8" s="6">
        <f>+'[2]ESF2019-2018 (4)'!$C$12</f>
        <v>96361040</v>
      </c>
      <c r="C8" s="6">
        <f t="shared" si="6"/>
        <v>99251871.200000003</v>
      </c>
      <c r="D8" s="6">
        <f t="shared" si="6"/>
        <v>102229427.33600001</v>
      </c>
      <c r="E8" s="6">
        <f t="shared" si="6"/>
        <v>105296310.15608001</v>
      </c>
      <c r="F8" s="7">
        <f t="shared" si="6"/>
        <v>108455199.46076241</v>
      </c>
      <c r="G8" s="7">
        <f t="shared" ref="G8:K8" si="8">+F8*1.03</f>
        <v>111708855.44458529</v>
      </c>
      <c r="H8" s="7">
        <f t="shared" si="8"/>
        <v>115060121.10792285</v>
      </c>
      <c r="I8" s="7">
        <f t="shared" si="8"/>
        <v>118511924.74116054</v>
      </c>
      <c r="J8" s="7">
        <f t="shared" si="8"/>
        <v>122067282.48339537</v>
      </c>
      <c r="K8" s="7">
        <f t="shared" si="8"/>
        <v>125729300.95789723</v>
      </c>
      <c r="L8" s="7">
        <f t="shared" si="2"/>
        <v>129501179.98663415</v>
      </c>
      <c r="M8" s="7">
        <f t="shared" si="3"/>
        <v>133386215.38623318</v>
      </c>
      <c r="N8" s="7">
        <f t="shared" si="4"/>
        <v>137387801.84782019</v>
      </c>
      <c r="O8" s="7">
        <f t="shared" si="5"/>
        <v>141509435.90325481</v>
      </c>
    </row>
    <row r="9" spans="1:15" ht="38.25" x14ac:dyDescent="0.2">
      <c r="A9" s="17" t="str">
        <f>+[1]ESF2015!$A$12</f>
        <v>Cuentas Comerciales por Cobrar</v>
      </c>
      <c r="B9" s="15">
        <f>+'[2]ESF2019-2018 (4)'!$C$13</f>
        <v>3779109</v>
      </c>
      <c r="C9" s="15">
        <f t="shared" si="6"/>
        <v>3892482.27</v>
      </c>
      <c r="D9" s="15">
        <f t="shared" si="6"/>
        <v>4009256.7381000002</v>
      </c>
      <c r="E9" s="15">
        <f t="shared" si="6"/>
        <v>4129534.4402430002</v>
      </c>
      <c r="F9" s="14">
        <f t="shared" si="6"/>
        <v>4253420.47345029</v>
      </c>
      <c r="G9" s="14">
        <f t="shared" ref="G9:K9" si="9">+F9*1.03</f>
        <v>4381023.087653799</v>
      </c>
      <c r="H9" s="14">
        <f t="shared" si="9"/>
        <v>4512453.7802834129</v>
      </c>
      <c r="I9" s="14">
        <f t="shared" si="9"/>
        <v>4647827.3936919151</v>
      </c>
      <c r="J9" s="14">
        <f t="shared" si="9"/>
        <v>4787262.2155026728</v>
      </c>
      <c r="K9" s="14">
        <f t="shared" si="9"/>
        <v>4930880.0819677534</v>
      </c>
      <c r="L9" s="14">
        <f t="shared" si="2"/>
        <v>5078806.4844267862</v>
      </c>
      <c r="M9" s="14">
        <f t="shared" si="3"/>
        <v>5231170.6789595895</v>
      </c>
      <c r="N9" s="14">
        <f t="shared" si="4"/>
        <v>5388105.7993283775</v>
      </c>
      <c r="O9" s="14">
        <f t="shared" si="5"/>
        <v>5549748.9733082289</v>
      </c>
    </row>
    <row r="10" spans="1:15" x14ac:dyDescent="0.2">
      <c r="A10" s="18" t="str">
        <f>+'[1]ESF2018-2017 (3)'!$A$14</f>
        <v>Clientes</v>
      </c>
      <c r="B10" s="6">
        <f>+'[2]ESF2019-2018 (4)'!$C$14</f>
        <v>0</v>
      </c>
      <c r="C10" s="6">
        <f t="shared" si="6"/>
        <v>0</v>
      </c>
      <c r="D10" s="6">
        <f t="shared" si="6"/>
        <v>0</v>
      </c>
      <c r="E10" s="6">
        <f t="shared" si="6"/>
        <v>0</v>
      </c>
      <c r="F10" s="14">
        <f t="shared" si="6"/>
        <v>0</v>
      </c>
      <c r="G10" s="14">
        <f t="shared" ref="G10:K10" si="10">+F10*1.03</f>
        <v>0</v>
      </c>
      <c r="H10" s="14">
        <f t="shared" si="10"/>
        <v>0</v>
      </c>
      <c r="I10" s="14">
        <f t="shared" si="10"/>
        <v>0</v>
      </c>
      <c r="J10" s="14">
        <f t="shared" si="10"/>
        <v>0</v>
      </c>
      <c r="K10" s="14">
        <f t="shared" si="10"/>
        <v>0</v>
      </c>
      <c r="L10" s="14">
        <f t="shared" si="2"/>
        <v>0</v>
      </c>
      <c r="M10" s="14">
        <f t="shared" si="3"/>
        <v>0</v>
      </c>
      <c r="N10" s="14">
        <f t="shared" si="4"/>
        <v>0</v>
      </c>
      <c r="O10" s="14">
        <f t="shared" si="5"/>
        <v>0</v>
      </c>
    </row>
    <row r="11" spans="1:15" x14ac:dyDescent="0.2">
      <c r="A11" s="18" t="str">
        <f>+[1]ESF2015!$A$13</f>
        <v>Otros Activos</v>
      </c>
      <c r="B11" s="6">
        <f>+'[2]ESF2019-2018 (4)'!$C$15</f>
        <v>3779109</v>
      </c>
      <c r="C11" s="6">
        <f t="shared" si="6"/>
        <v>3892482.27</v>
      </c>
      <c r="D11" s="6">
        <f t="shared" si="6"/>
        <v>4009256.7381000002</v>
      </c>
      <c r="E11" s="6">
        <f t="shared" si="6"/>
        <v>4129534.4402430002</v>
      </c>
      <c r="F11" s="7">
        <f t="shared" si="6"/>
        <v>4253420.47345029</v>
      </c>
      <c r="G11" s="7">
        <f t="shared" ref="G11:K11" si="11">+F11*1.03</f>
        <v>4381023.087653799</v>
      </c>
      <c r="H11" s="7">
        <f t="shared" si="11"/>
        <v>4512453.7802834129</v>
      </c>
      <c r="I11" s="7">
        <f t="shared" si="11"/>
        <v>4647827.3936919151</v>
      </c>
      <c r="J11" s="7">
        <f t="shared" si="11"/>
        <v>4787262.2155026728</v>
      </c>
      <c r="K11" s="7">
        <f t="shared" si="11"/>
        <v>4930880.0819677534</v>
      </c>
      <c r="L11" s="7">
        <f t="shared" si="2"/>
        <v>5078806.4844267862</v>
      </c>
      <c r="M11" s="7">
        <f t="shared" si="3"/>
        <v>5231170.6789595895</v>
      </c>
      <c r="N11" s="7">
        <f t="shared" si="4"/>
        <v>5388105.7993283775</v>
      </c>
      <c r="O11" s="7">
        <f t="shared" si="5"/>
        <v>5549748.9733082289</v>
      </c>
    </row>
    <row r="12" spans="1:15" ht="38.25" x14ac:dyDescent="0.2">
      <c r="A12" s="17" t="str">
        <f>+'[1]ESF2016-2015'!$A$15</f>
        <v>Activo por Impuestos Corrientes</v>
      </c>
      <c r="B12" s="15">
        <f>+'[2]ESF2019-2018 (4)'!$C$16</f>
        <v>7583836</v>
      </c>
      <c r="C12" s="15">
        <f t="shared" si="6"/>
        <v>7811351.0800000001</v>
      </c>
      <c r="D12" s="15">
        <f t="shared" si="6"/>
        <v>8045691.6124</v>
      </c>
      <c r="E12" s="15">
        <f t="shared" si="6"/>
        <v>8287062.3607720006</v>
      </c>
      <c r="F12" s="14">
        <f t="shared" si="6"/>
        <v>8535674.2315951604</v>
      </c>
      <c r="G12" s="14">
        <f t="shared" ref="G12:K12" si="12">+F12*1.03</f>
        <v>8791744.4585430156</v>
      </c>
      <c r="H12" s="14">
        <f t="shared" si="12"/>
        <v>9055496.792299306</v>
      </c>
      <c r="I12" s="14">
        <f t="shared" si="12"/>
        <v>9327161.696068285</v>
      </c>
      <c r="J12" s="14">
        <f t="shared" si="12"/>
        <v>9606976.5469503347</v>
      </c>
      <c r="K12" s="14">
        <f t="shared" si="12"/>
        <v>9895185.8433588445</v>
      </c>
      <c r="L12" s="14">
        <f t="shared" si="2"/>
        <v>10192041.418659611</v>
      </c>
      <c r="M12" s="14">
        <f t="shared" si="3"/>
        <v>10497802.661219399</v>
      </c>
      <c r="N12" s="14">
        <f t="shared" si="4"/>
        <v>10812736.741055982</v>
      </c>
      <c r="O12" s="14">
        <f t="shared" si="5"/>
        <v>11137118.843287662</v>
      </c>
    </row>
    <row r="13" spans="1:15" ht="38.25" x14ac:dyDescent="0.2">
      <c r="A13" s="18" t="str">
        <f>+'[1]ESF2016-2015'!$A$16</f>
        <v>Anticipos de Impuestos y contribuciones</v>
      </c>
      <c r="B13" s="6">
        <f>+'[2]ESF2019-2018 (4)'!$C$17</f>
        <v>7583836</v>
      </c>
      <c r="C13" s="6">
        <f t="shared" si="6"/>
        <v>7811351.0800000001</v>
      </c>
      <c r="D13" s="6">
        <f t="shared" si="6"/>
        <v>8045691.6124</v>
      </c>
      <c r="E13" s="6">
        <f t="shared" si="6"/>
        <v>8287062.3607720006</v>
      </c>
      <c r="F13" s="7">
        <f t="shared" si="6"/>
        <v>8535674.2315951604</v>
      </c>
      <c r="G13" s="7">
        <f t="shared" ref="G13:K13" si="13">+F13*1.03</f>
        <v>8791744.4585430156</v>
      </c>
      <c r="H13" s="7">
        <f t="shared" si="13"/>
        <v>9055496.792299306</v>
      </c>
      <c r="I13" s="7">
        <f t="shared" si="13"/>
        <v>9327161.696068285</v>
      </c>
      <c r="J13" s="7">
        <f t="shared" si="13"/>
        <v>9606976.5469503347</v>
      </c>
      <c r="K13" s="7">
        <f t="shared" si="13"/>
        <v>9895185.8433588445</v>
      </c>
      <c r="L13" s="7">
        <f t="shared" si="2"/>
        <v>10192041.418659611</v>
      </c>
      <c r="M13" s="7">
        <f t="shared" si="3"/>
        <v>10497802.661219399</v>
      </c>
      <c r="N13" s="7">
        <f t="shared" si="4"/>
        <v>10812736.741055982</v>
      </c>
      <c r="O13" s="7">
        <f t="shared" si="5"/>
        <v>11137118.843287662</v>
      </c>
    </row>
    <row r="14" spans="1:15" x14ac:dyDescent="0.2">
      <c r="A14" s="17" t="s">
        <v>139</v>
      </c>
      <c r="B14" s="15">
        <f>+'[2]ESF2019-2018 (4)'!$C$18</f>
        <v>738758704</v>
      </c>
      <c r="C14" s="15">
        <f t="shared" si="6"/>
        <v>760921465.12</v>
      </c>
      <c r="D14" s="15">
        <f t="shared" si="6"/>
        <v>783749109.07360005</v>
      </c>
      <c r="E14" s="15">
        <f t="shared" si="6"/>
        <v>807261582.34580803</v>
      </c>
      <c r="F14" s="14">
        <f t="shared" si="6"/>
        <v>831479429.81618226</v>
      </c>
      <c r="G14" s="14">
        <f t="shared" ref="G14:K14" si="14">+F14*1.03</f>
        <v>856423812.71066773</v>
      </c>
      <c r="H14" s="14">
        <f t="shared" si="14"/>
        <v>882116527.09198773</v>
      </c>
      <c r="I14" s="14">
        <f t="shared" si="14"/>
        <v>908580022.90474737</v>
      </c>
      <c r="J14" s="14">
        <f t="shared" si="14"/>
        <v>935837423.59188986</v>
      </c>
      <c r="K14" s="14">
        <f t="shared" si="14"/>
        <v>963912546.29964662</v>
      </c>
      <c r="L14" s="14">
        <f t="shared" si="2"/>
        <v>992829922.68863606</v>
      </c>
      <c r="M14" s="14">
        <f t="shared" si="3"/>
        <v>1022614820.3692951</v>
      </c>
      <c r="N14" s="14">
        <f t="shared" si="4"/>
        <v>1053293264.980374</v>
      </c>
      <c r="O14" s="14">
        <f t="shared" si="5"/>
        <v>1084892062.9297853</v>
      </c>
    </row>
    <row r="15" spans="1:15" ht="25.5" x14ac:dyDescent="0.2">
      <c r="A15" s="18" t="str">
        <f>+'[1]ESF2016-2015'!$A$18</f>
        <v>Cultivos en Desarrollo</v>
      </c>
      <c r="B15" s="6">
        <f>+'[2]ESF2019-2018 (4)'!$C$19</f>
        <v>188472204</v>
      </c>
      <c r="C15" s="6">
        <f t="shared" si="6"/>
        <v>194126370.12</v>
      </c>
      <c r="D15" s="6">
        <f t="shared" si="6"/>
        <v>199950161.2236</v>
      </c>
      <c r="E15" s="6">
        <f t="shared" si="6"/>
        <v>205948666.06030801</v>
      </c>
      <c r="F15" s="7">
        <f t="shared" si="6"/>
        <v>212127126.04211727</v>
      </c>
      <c r="G15" s="7">
        <f t="shared" ref="G15:K15" si="15">+F15*1.03</f>
        <v>218490939.8233808</v>
      </c>
      <c r="H15" s="7">
        <f t="shared" si="15"/>
        <v>225045668.01808223</v>
      </c>
      <c r="I15" s="7">
        <f t="shared" si="15"/>
        <v>231797038.05862471</v>
      </c>
      <c r="J15" s="7">
        <f t="shared" si="15"/>
        <v>238750949.20038345</v>
      </c>
      <c r="K15" s="7">
        <f t="shared" si="15"/>
        <v>245913477.67639497</v>
      </c>
      <c r="L15" s="7">
        <f t="shared" si="2"/>
        <v>253290882.00668684</v>
      </c>
      <c r="M15" s="7">
        <f t="shared" si="3"/>
        <v>260889608.46688744</v>
      </c>
      <c r="N15" s="7">
        <f t="shared" si="4"/>
        <v>268716296.7208941</v>
      </c>
      <c r="O15" s="7">
        <f t="shared" si="5"/>
        <v>276777785.62252092</v>
      </c>
    </row>
    <row r="16" spans="1:15" x14ac:dyDescent="0.2">
      <c r="A16" s="18" t="str">
        <f>+'[2]ESF2019-2018 (4)'!$A$20</f>
        <v>Semovientes</v>
      </c>
      <c r="B16" s="6">
        <f>+'[2]ESF2019-2018 (4)'!$C$20</f>
        <v>550286500</v>
      </c>
      <c r="C16" s="6">
        <f t="shared" si="6"/>
        <v>566795095</v>
      </c>
      <c r="D16" s="6">
        <f t="shared" si="6"/>
        <v>583798947.85000002</v>
      </c>
      <c r="E16" s="6">
        <f t="shared" si="6"/>
        <v>601312916.28550005</v>
      </c>
      <c r="F16" s="7">
        <f t="shared" si="6"/>
        <v>619352303.77406502</v>
      </c>
      <c r="G16" s="7">
        <f t="shared" ref="G16:K16" si="16">+F16*1.03</f>
        <v>637932872.88728702</v>
      </c>
      <c r="H16" s="7">
        <f t="shared" si="16"/>
        <v>657070859.07390571</v>
      </c>
      <c r="I16" s="7">
        <f t="shared" si="16"/>
        <v>676782984.84612286</v>
      </c>
      <c r="J16" s="7">
        <f t="shared" si="16"/>
        <v>697086474.39150655</v>
      </c>
      <c r="K16" s="7">
        <f t="shared" si="16"/>
        <v>717999068.6232518</v>
      </c>
      <c r="L16" s="7">
        <f t="shared" si="2"/>
        <v>739539040.68194938</v>
      </c>
      <c r="M16" s="7">
        <f t="shared" si="3"/>
        <v>761725211.90240788</v>
      </c>
      <c r="N16" s="7">
        <f t="shared" si="4"/>
        <v>784576968.25948012</v>
      </c>
      <c r="O16" s="7">
        <f t="shared" si="5"/>
        <v>808114277.30726457</v>
      </c>
    </row>
    <row r="17" spans="1:15" ht="25.5" x14ac:dyDescent="0.2">
      <c r="A17" s="17" t="str">
        <f>+[1]ESF2015!$A$14</f>
        <v>Total del Activo Corriente</v>
      </c>
      <c r="B17" s="15">
        <f>+'[2]ESF2019-2018 (4)'!$C$21</f>
        <v>1037231950</v>
      </c>
      <c r="C17" s="15">
        <f t="shared" si="6"/>
        <v>1068348908.5</v>
      </c>
      <c r="D17" s="15">
        <f t="shared" si="6"/>
        <v>1100399375.7550001</v>
      </c>
      <c r="E17" s="15">
        <f t="shared" si="6"/>
        <v>1133411357.0276501</v>
      </c>
      <c r="F17" s="14">
        <f t="shared" si="6"/>
        <v>1167413697.7384796</v>
      </c>
      <c r="G17" s="14">
        <f t="shared" ref="G17:K17" si="17">+F17*1.03</f>
        <v>1202436108.670634</v>
      </c>
      <c r="H17" s="14">
        <f t="shared" si="17"/>
        <v>1238509191.930753</v>
      </c>
      <c r="I17" s="14">
        <f t="shared" si="17"/>
        <v>1275664467.6886756</v>
      </c>
      <c r="J17" s="14">
        <f t="shared" si="17"/>
        <v>1313934401.719336</v>
      </c>
      <c r="K17" s="14">
        <f t="shared" si="17"/>
        <v>1353352433.7709162</v>
      </c>
      <c r="L17" s="14">
        <f t="shared" si="2"/>
        <v>1393953006.7840438</v>
      </c>
      <c r="M17" s="14">
        <f t="shared" si="3"/>
        <v>1435771596.987565</v>
      </c>
      <c r="N17" s="14">
        <f t="shared" si="4"/>
        <v>1478844744.897192</v>
      </c>
      <c r="O17" s="14">
        <f t="shared" si="5"/>
        <v>1523210087.2441077</v>
      </c>
    </row>
    <row r="18" spans="1:15" x14ac:dyDescent="0.2">
      <c r="A18" s="1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">
      <c r="A19" s="150" t="s">
        <v>2</v>
      </c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5.5" x14ac:dyDescent="0.2">
      <c r="A20" s="17" t="str">
        <f>+[1]ESF2015!$A$23</f>
        <v>Propiedades,planta y equipos</v>
      </c>
      <c r="B20" s="15"/>
      <c r="C20" s="15"/>
      <c r="D20" s="15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x14ac:dyDescent="0.2">
      <c r="A21" s="18" t="str">
        <f>+[1]ESF2015!$A$24</f>
        <v>Terrenos</v>
      </c>
      <c r="B21" s="6">
        <f>+'[2]ESF2019-2018 (4)'!$C$31</f>
        <v>12223734841</v>
      </c>
      <c r="C21" s="6">
        <f>+B21*1.03</f>
        <v>12590446886.23</v>
      </c>
      <c r="D21" s="6">
        <f t="shared" ref="D21:E21" si="18">+C21*1.03</f>
        <v>12968160292.8169</v>
      </c>
      <c r="E21" s="6">
        <f t="shared" si="18"/>
        <v>13357205101.601408</v>
      </c>
      <c r="F21" s="99">
        <f>+$E$21-2600000000</f>
        <v>10757205101.601408</v>
      </c>
      <c r="G21" s="99">
        <f t="shared" ref="G21:J21" si="19">+$E$21-2600000000</f>
        <v>10757205101.601408</v>
      </c>
      <c r="H21" s="99">
        <f t="shared" si="19"/>
        <v>10757205101.601408</v>
      </c>
      <c r="I21" s="99">
        <f t="shared" si="19"/>
        <v>10757205101.601408</v>
      </c>
      <c r="J21" s="99">
        <f t="shared" si="19"/>
        <v>10757205101.601408</v>
      </c>
      <c r="K21" s="99">
        <f>+J21*1.03</f>
        <v>11079921254.64945</v>
      </c>
      <c r="L21" s="99">
        <f t="shared" ref="L21:O21" si="20">+K21*1.03</f>
        <v>11412318892.288935</v>
      </c>
      <c r="M21" s="99">
        <f t="shared" si="20"/>
        <v>11754688459.057604</v>
      </c>
      <c r="N21" s="99">
        <f t="shared" si="20"/>
        <v>12107329112.829332</v>
      </c>
      <c r="O21" s="99">
        <f t="shared" si="20"/>
        <v>12470548986.214212</v>
      </c>
    </row>
    <row r="22" spans="1:15" ht="25.5" x14ac:dyDescent="0.2">
      <c r="A22" s="18" t="str">
        <f>+[1]ESF2015!$A$25</f>
        <v>Flota y Equipo de Transporte</v>
      </c>
      <c r="B22" s="6">
        <f>+'[2]ESF2019-2018 (4)'!$C$32</f>
        <v>52000000</v>
      </c>
      <c r="C22" s="6">
        <f t="shared" ref="C22:E23" si="21">+B22*1.03</f>
        <v>53560000</v>
      </c>
      <c r="D22" s="6">
        <f t="shared" si="21"/>
        <v>55166800</v>
      </c>
      <c r="E22" s="6">
        <f t="shared" si="21"/>
        <v>56821804</v>
      </c>
      <c r="F22" s="6">
        <f>+E22</f>
        <v>56821804</v>
      </c>
      <c r="G22" s="6">
        <f t="shared" ref="G22:J22" si="22">+F22</f>
        <v>56821804</v>
      </c>
      <c r="H22" s="6">
        <f t="shared" si="22"/>
        <v>56821804</v>
      </c>
      <c r="I22" s="6">
        <f t="shared" si="22"/>
        <v>56821804</v>
      </c>
      <c r="J22" s="6">
        <f t="shared" si="22"/>
        <v>56821804</v>
      </c>
      <c r="K22" s="6">
        <f>+J22*1.03</f>
        <v>58526458.120000005</v>
      </c>
      <c r="L22" s="6">
        <f t="shared" ref="L22:O22" si="23">+K22*1.03</f>
        <v>60282251.863600008</v>
      </c>
      <c r="M22" s="6">
        <f t="shared" si="23"/>
        <v>62090719.41950801</v>
      </c>
      <c r="N22" s="6">
        <f t="shared" si="23"/>
        <v>63953441.002093256</v>
      </c>
      <c r="O22" s="6">
        <f t="shared" si="23"/>
        <v>65872044.232156053</v>
      </c>
    </row>
    <row r="23" spans="1:15" ht="38.25" x14ac:dyDescent="0.2">
      <c r="A23" s="18" t="str">
        <f>+'[1]ESF2018-2017 (3)'!$A$28</f>
        <v>Equipo de Computacion y Comunicación</v>
      </c>
      <c r="B23" s="6">
        <f>+'[2]ESF2019-2018 (4)'!$C$33</f>
        <v>1599000</v>
      </c>
      <c r="C23" s="6">
        <f t="shared" si="21"/>
        <v>1646970</v>
      </c>
      <c r="D23" s="6">
        <f t="shared" si="21"/>
        <v>1696379.1</v>
      </c>
      <c r="E23" s="6">
        <f t="shared" si="21"/>
        <v>1747270.4730000002</v>
      </c>
      <c r="F23" s="6">
        <f>+E23</f>
        <v>1747270.4730000002</v>
      </c>
      <c r="G23" s="6">
        <f t="shared" ref="G23:J23" si="24">+F23</f>
        <v>1747270.4730000002</v>
      </c>
      <c r="H23" s="6">
        <f t="shared" si="24"/>
        <v>1747270.4730000002</v>
      </c>
      <c r="I23" s="6">
        <f t="shared" si="24"/>
        <v>1747270.4730000002</v>
      </c>
      <c r="J23" s="6">
        <f t="shared" si="24"/>
        <v>1747270.4730000002</v>
      </c>
      <c r="K23" s="6">
        <f>+J23*1.03</f>
        <v>1799688.5871900003</v>
      </c>
      <c r="L23" s="6">
        <f t="shared" ref="L23:O23" si="25">+K23*1.03</f>
        <v>1853679.2448057004</v>
      </c>
      <c r="M23" s="6">
        <f t="shared" si="25"/>
        <v>1909289.6221498714</v>
      </c>
      <c r="N23" s="6">
        <f t="shared" si="25"/>
        <v>1966568.3108143676</v>
      </c>
      <c r="O23" s="6">
        <f t="shared" si="25"/>
        <v>2025565.3601387986</v>
      </c>
    </row>
    <row r="24" spans="1:15" ht="25.5" x14ac:dyDescent="0.2">
      <c r="A24" s="18" t="s">
        <v>140</v>
      </c>
      <c r="B24" s="6"/>
      <c r="C24" s="6">
        <f t="shared" ref="C24:E24" si="26">+B24</f>
        <v>0</v>
      </c>
      <c r="D24" s="6">
        <f t="shared" si="26"/>
        <v>0</v>
      </c>
      <c r="E24" s="6">
        <f t="shared" si="26"/>
        <v>0</v>
      </c>
      <c r="F24" s="137">
        <v>389270000</v>
      </c>
      <c r="G24" s="137">
        <v>278050000</v>
      </c>
      <c r="H24" s="137">
        <v>244684000</v>
      </c>
      <c r="I24" s="137">
        <v>111220000</v>
      </c>
      <c r="J24" s="137">
        <v>88976000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</row>
    <row r="25" spans="1:15" ht="25.5" x14ac:dyDescent="0.2">
      <c r="A25" s="17" t="str">
        <f>+[1]ESF2015!$A$26</f>
        <v>Total Activos no corriente</v>
      </c>
      <c r="B25" s="15">
        <f>+'[2]ESF2019-2018 (4)'!$C$34</f>
        <v>12277333841</v>
      </c>
      <c r="C25" s="15">
        <f>+SUM(C21:C24)</f>
        <v>12645653856.23</v>
      </c>
      <c r="D25" s="15">
        <f t="shared" ref="D25:E25" si="27">+SUM(D21:D24)</f>
        <v>13025023471.916901</v>
      </c>
      <c r="E25" s="15">
        <f t="shared" si="27"/>
        <v>13415774176.074408</v>
      </c>
      <c r="F25" s="14">
        <f>SUM(F21:F24)</f>
        <v>11205044176.074408</v>
      </c>
      <c r="G25" s="14">
        <f t="shared" ref="G25:J25" si="28">SUM(G21:G24)</f>
        <v>11093824176.074408</v>
      </c>
      <c r="H25" s="14">
        <f t="shared" si="28"/>
        <v>11060458176.074408</v>
      </c>
      <c r="I25" s="14">
        <f t="shared" si="28"/>
        <v>10926994176.074408</v>
      </c>
      <c r="J25" s="14">
        <f t="shared" si="28"/>
        <v>10904750176.074408</v>
      </c>
      <c r="K25" s="14">
        <f t="shared" ref="K25:O25" si="29">SUM(K21:K24)</f>
        <v>11140247401.356642</v>
      </c>
      <c r="L25" s="14">
        <f t="shared" si="29"/>
        <v>11474454823.397341</v>
      </c>
      <c r="M25" s="14">
        <f t="shared" si="29"/>
        <v>11818688468.099262</v>
      </c>
      <c r="N25" s="14">
        <f t="shared" si="29"/>
        <v>12173249122.142239</v>
      </c>
      <c r="O25" s="14">
        <f t="shared" si="29"/>
        <v>12538446595.806507</v>
      </c>
    </row>
    <row r="26" spans="1:15" x14ac:dyDescent="0.2">
      <c r="A26" s="18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">
      <c r="A27" s="151" t="s">
        <v>3</v>
      </c>
      <c r="B27" s="129">
        <f>+'[2]ESF2019-2018 (4)'!$C$48</f>
        <v>13314565791</v>
      </c>
      <c r="C27" s="129">
        <f>+C17+C25</f>
        <v>13714002764.73</v>
      </c>
      <c r="D27" s="129">
        <f t="shared" ref="D27:E27" si="30">+D17+D25</f>
        <v>14125422847.671902</v>
      </c>
      <c r="E27" s="129">
        <f t="shared" si="30"/>
        <v>14549185533.102058</v>
      </c>
      <c r="F27" s="129">
        <f>+F17+F25</f>
        <v>12372457873.812887</v>
      </c>
      <c r="G27" s="129">
        <f t="shared" ref="G27:J27" si="31">+G17+G25</f>
        <v>12296260284.745041</v>
      </c>
      <c r="H27" s="129">
        <f t="shared" si="31"/>
        <v>12298967368.005161</v>
      </c>
      <c r="I27" s="129">
        <f t="shared" si="31"/>
        <v>12202658643.763083</v>
      </c>
      <c r="J27" s="129">
        <f t="shared" si="31"/>
        <v>12218684577.793743</v>
      </c>
      <c r="K27" s="129">
        <f t="shared" ref="K27:O27" si="32">+K17+K25</f>
        <v>12493599835.127558</v>
      </c>
      <c r="L27" s="129">
        <f t="shared" si="32"/>
        <v>12868407830.181385</v>
      </c>
      <c r="M27" s="129">
        <f t="shared" si="32"/>
        <v>13254460065.086826</v>
      </c>
      <c r="N27" s="129">
        <f t="shared" si="32"/>
        <v>13652093867.039431</v>
      </c>
      <c r="O27" s="129">
        <f t="shared" si="32"/>
        <v>14061656683.050615</v>
      </c>
    </row>
    <row r="28" spans="1:15" x14ac:dyDescent="0.2">
      <c r="A28" s="18"/>
      <c r="B28" s="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2">
      <c r="A29" s="149" t="s">
        <v>4</v>
      </c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149"/>
      <c r="B30" s="6"/>
      <c r="C30" s="6"/>
      <c r="D30" s="6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150" t="s">
        <v>1</v>
      </c>
      <c r="B31" s="6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76.5" x14ac:dyDescent="0.2">
      <c r="A32" s="152" t="str">
        <f>+[1]ESF2015!$E$9</f>
        <v>Cuentas comerciales por pagar y otras cuentas comerciales por pagar</v>
      </c>
      <c r="B32" s="130">
        <f>+'[2]ESF2019-2018 (4)'!$J$10</f>
        <v>2004229593</v>
      </c>
      <c r="C32" s="130">
        <f>+B32*1.03</f>
        <v>2064356480.79</v>
      </c>
      <c r="D32" s="130">
        <f t="shared" ref="D32:E32" si="33">+C32*1.03</f>
        <v>2126287175.2137001</v>
      </c>
      <c r="E32" s="130">
        <f t="shared" si="33"/>
        <v>2190075790.4701109</v>
      </c>
      <c r="F32" s="131">
        <f>+E32-(E32/5)</f>
        <v>1752060632.3760886</v>
      </c>
      <c r="G32" s="131">
        <f>+F32-(F32/4)</f>
        <v>1314045474.2820663</v>
      </c>
      <c r="H32" s="131">
        <f>+G32-(G32/3)</f>
        <v>876030316.18804431</v>
      </c>
      <c r="I32" s="131">
        <f>+H32-(H32/2)</f>
        <v>438015158.09402215</v>
      </c>
      <c r="J32" s="131">
        <f>+I32-(I32/1)</f>
        <v>0</v>
      </c>
      <c r="K32" s="131">
        <f t="shared" ref="K32" si="34">+J32-(J32/5)</f>
        <v>0</v>
      </c>
      <c r="L32" s="131">
        <f t="shared" ref="L32:L37" si="35">+K32-(K32/5)</f>
        <v>0</v>
      </c>
      <c r="M32" s="131">
        <f t="shared" ref="M32:M37" si="36">+L32-(L32/5)</f>
        <v>0</v>
      </c>
      <c r="N32" s="131">
        <f t="shared" ref="N32:N37" si="37">+M32-(M32/5)</f>
        <v>0</v>
      </c>
      <c r="O32" s="131">
        <f t="shared" ref="O32:O37" si="38">+N32-(N32/5)</f>
        <v>0</v>
      </c>
    </row>
    <row r="33" spans="1:15" ht="25.5" x14ac:dyDescent="0.2">
      <c r="A33" s="34" t="str">
        <f>+[1]ESF2015!$E$10</f>
        <v>Costos y Gastos por Pagar</v>
      </c>
      <c r="B33" s="132">
        <f>+'[2]ESF2019-2018 (4)'!$J$11</f>
        <v>357872202</v>
      </c>
      <c r="C33" s="132">
        <f t="shared" ref="C33:F57" si="39">+B33*1.03</f>
        <v>368608368.06</v>
      </c>
      <c r="D33" s="132">
        <f t="shared" si="39"/>
        <v>379666619.10180002</v>
      </c>
      <c r="E33" s="132">
        <f t="shared" si="39"/>
        <v>391056617.67485404</v>
      </c>
      <c r="F33" s="133">
        <f t="shared" ref="F33:F37" si="40">+E33-(E33/5)</f>
        <v>312845294.13988322</v>
      </c>
      <c r="G33" s="133">
        <f t="shared" ref="G33:G37" si="41">+F33-(F33/4)</f>
        <v>234633970.6049124</v>
      </c>
      <c r="H33" s="133">
        <f t="shared" ref="H33:H37" si="42">+G33-(G33/3)</f>
        <v>156422647.06994158</v>
      </c>
      <c r="I33" s="133">
        <f t="shared" ref="I33:I37" si="43">+H33-(H33/2)</f>
        <v>78211323.53497079</v>
      </c>
      <c r="J33" s="133">
        <f t="shared" ref="J33:J37" si="44">+I33-(I33/1)</f>
        <v>0</v>
      </c>
      <c r="K33" s="133">
        <f t="shared" ref="K33" si="45">+J33-(J33/5)</f>
        <v>0</v>
      </c>
      <c r="L33" s="133">
        <f t="shared" si="35"/>
        <v>0</v>
      </c>
      <c r="M33" s="133">
        <f t="shared" si="36"/>
        <v>0</v>
      </c>
      <c r="N33" s="133">
        <f t="shared" si="37"/>
        <v>0</v>
      </c>
      <c r="O33" s="133">
        <f t="shared" si="38"/>
        <v>0</v>
      </c>
    </row>
    <row r="34" spans="1:15" ht="25.5" x14ac:dyDescent="0.2">
      <c r="A34" s="34" t="str">
        <f>+'[1]ESF2016-2015'!$G$12</f>
        <v>Deuda con Accionistas o Socios</v>
      </c>
      <c r="B34" s="132">
        <f>+'[2]ESF2019-2018 (4)'!$J$12</f>
        <v>363795000</v>
      </c>
      <c r="C34" s="132">
        <f t="shared" si="39"/>
        <v>374708850</v>
      </c>
      <c r="D34" s="132">
        <f t="shared" si="39"/>
        <v>385950115.5</v>
      </c>
      <c r="E34" s="132">
        <f t="shared" si="39"/>
        <v>397528618.96500003</v>
      </c>
      <c r="F34" s="133">
        <f t="shared" si="40"/>
        <v>318022895.17200005</v>
      </c>
      <c r="G34" s="133">
        <f t="shared" si="41"/>
        <v>238517171.37900004</v>
      </c>
      <c r="H34" s="133">
        <f t="shared" si="42"/>
        <v>159011447.58600003</v>
      </c>
      <c r="I34" s="133">
        <f t="shared" si="43"/>
        <v>79505723.793000013</v>
      </c>
      <c r="J34" s="133">
        <f t="shared" si="44"/>
        <v>0</v>
      </c>
      <c r="K34" s="133">
        <f t="shared" ref="K34:K37" si="46">+J34-(J34/5)</f>
        <v>0</v>
      </c>
      <c r="L34" s="133">
        <f t="shared" si="35"/>
        <v>0</v>
      </c>
      <c r="M34" s="133">
        <f t="shared" si="36"/>
        <v>0</v>
      </c>
      <c r="N34" s="133">
        <f t="shared" si="37"/>
        <v>0</v>
      </c>
      <c r="O34" s="133">
        <f t="shared" si="38"/>
        <v>0</v>
      </c>
    </row>
    <row r="35" spans="1:15" ht="38.25" x14ac:dyDescent="0.2">
      <c r="A35" s="34" t="str">
        <f>+[1]ESF2015!$E$11</f>
        <v>Dividendos o Participaciones por Pagar</v>
      </c>
      <c r="B35" s="132">
        <f>+'[2]ESF2019-2018 (4)'!$J$13</f>
        <v>200000000</v>
      </c>
      <c r="C35" s="132">
        <f t="shared" si="39"/>
        <v>206000000</v>
      </c>
      <c r="D35" s="132">
        <f t="shared" si="39"/>
        <v>212180000</v>
      </c>
      <c r="E35" s="132">
        <f t="shared" si="39"/>
        <v>218545400</v>
      </c>
      <c r="F35" s="133">
        <f t="shared" si="40"/>
        <v>174836320</v>
      </c>
      <c r="G35" s="133">
        <f t="shared" si="41"/>
        <v>131127240</v>
      </c>
      <c r="H35" s="133">
        <f t="shared" si="42"/>
        <v>87418160</v>
      </c>
      <c r="I35" s="133">
        <f t="shared" si="43"/>
        <v>43709080</v>
      </c>
      <c r="J35" s="133">
        <f t="shared" si="44"/>
        <v>0</v>
      </c>
      <c r="K35" s="133">
        <f t="shared" si="46"/>
        <v>0</v>
      </c>
      <c r="L35" s="133">
        <f t="shared" si="35"/>
        <v>0</v>
      </c>
      <c r="M35" s="133">
        <f t="shared" si="36"/>
        <v>0</v>
      </c>
      <c r="N35" s="133">
        <f t="shared" si="37"/>
        <v>0</v>
      </c>
      <c r="O35" s="133">
        <f t="shared" si="38"/>
        <v>0</v>
      </c>
    </row>
    <row r="36" spans="1:15" ht="25.5" x14ac:dyDescent="0.2">
      <c r="A36" s="34" t="str">
        <f>+'[2]ESF2019-2018 (4)'!$G$14</f>
        <v>Retencion en la Fuente</v>
      </c>
      <c r="B36" s="132">
        <f>+'[2]ESF2019-2018 (4)'!$J$14</f>
        <v>270391</v>
      </c>
      <c r="C36" s="132">
        <f t="shared" si="39"/>
        <v>278502.73</v>
      </c>
      <c r="D36" s="132">
        <f t="shared" si="39"/>
        <v>286857.81189999997</v>
      </c>
      <c r="E36" s="132">
        <f t="shared" si="39"/>
        <v>295463.54625699995</v>
      </c>
      <c r="F36" s="133">
        <f t="shared" si="40"/>
        <v>236370.83700559995</v>
      </c>
      <c r="G36" s="133">
        <f t="shared" si="41"/>
        <v>177278.12775419996</v>
      </c>
      <c r="H36" s="133">
        <f t="shared" si="42"/>
        <v>118185.41850279996</v>
      </c>
      <c r="I36" s="133">
        <f t="shared" si="43"/>
        <v>59092.709251399981</v>
      </c>
      <c r="J36" s="133">
        <f t="shared" si="44"/>
        <v>0</v>
      </c>
      <c r="K36" s="133">
        <f t="shared" si="46"/>
        <v>0</v>
      </c>
      <c r="L36" s="133">
        <f t="shared" si="35"/>
        <v>0</v>
      </c>
      <c r="M36" s="133">
        <f t="shared" si="36"/>
        <v>0</v>
      </c>
      <c r="N36" s="133">
        <f t="shared" si="37"/>
        <v>0</v>
      </c>
      <c r="O36" s="133">
        <f t="shared" si="38"/>
        <v>0</v>
      </c>
    </row>
    <row r="37" spans="1:15" ht="25.5" x14ac:dyDescent="0.2">
      <c r="A37" s="34" t="str">
        <f>+'[2]ESF2019-2018 (4)'!$G$15</f>
        <v>Retenciones y Aportes de Nomina</v>
      </c>
      <c r="B37" s="132">
        <f>+'[2]ESF2019-2018 (4)'!$J$15</f>
        <v>415200</v>
      </c>
      <c r="C37" s="132">
        <f t="shared" si="39"/>
        <v>427656</v>
      </c>
      <c r="D37" s="132">
        <f t="shared" si="39"/>
        <v>440485.68</v>
      </c>
      <c r="E37" s="132">
        <f t="shared" si="39"/>
        <v>453700.25040000002</v>
      </c>
      <c r="F37" s="133">
        <f t="shared" si="40"/>
        <v>362960.20032</v>
      </c>
      <c r="G37" s="133">
        <f t="shared" si="41"/>
        <v>272220.15023999999</v>
      </c>
      <c r="H37" s="133">
        <f t="shared" si="42"/>
        <v>181480.10015999997</v>
      </c>
      <c r="I37" s="133">
        <f t="shared" si="43"/>
        <v>90740.050079999986</v>
      </c>
      <c r="J37" s="133">
        <f t="shared" si="44"/>
        <v>0</v>
      </c>
      <c r="K37" s="133">
        <f t="shared" si="46"/>
        <v>0</v>
      </c>
      <c r="L37" s="133">
        <f t="shared" si="35"/>
        <v>0</v>
      </c>
      <c r="M37" s="133">
        <f t="shared" si="36"/>
        <v>0</v>
      </c>
      <c r="N37" s="133">
        <f t="shared" si="37"/>
        <v>0</v>
      </c>
      <c r="O37" s="133">
        <f t="shared" si="38"/>
        <v>0</v>
      </c>
    </row>
    <row r="38" spans="1:15" x14ac:dyDescent="0.2">
      <c r="A38" s="34" t="str">
        <f>+'[1]ESF2018-2017 (3)'!$G$14</f>
        <v>Acreedores Varios</v>
      </c>
      <c r="B38" s="99">
        <f>+'[2]ESF2019-2018 (4)'!$J$16</f>
        <v>1081876800</v>
      </c>
      <c r="C38" s="132">
        <f t="shared" si="39"/>
        <v>1114333104</v>
      </c>
      <c r="D38" s="132">
        <f t="shared" si="39"/>
        <v>1147763097.1200001</v>
      </c>
      <c r="E38" s="132">
        <f t="shared" si="39"/>
        <v>1182195990.0336001</v>
      </c>
      <c r="F38" s="99">
        <f>+E38-(E38/10)</f>
        <v>1063976391.0302401</v>
      </c>
      <c r="G38" s="99">
        <f>+F38-(F38/9)</f>
        <v>945756792.02688003</v>
      </c>
      <c r="H38" s="99">
        <f>+G38-(G38/8)</f>
        <v>827537193.02351999</v>
      </c>
      <c r="I38" s="99">
        <f>+H38-(H38/7)</f>
        <v>709317594.02015996</v>
      </c>
      <c r="J38" s="99">
        <f>+I38-(I38/6)</f>
        <v>591097995.01679993</v>
      </c>
      <c r="K38" s="99">
        <f>+J38-(J38/5)</f>
        <v>472878396.01343995</v>
      </c>
      <c r="L38" s="99">
        <f>+K38-(K38/4)</f>
        <v>354658797.01007998</v>
      </c>
      <c r="M38" s="99">
        <f>+L38-(L38/3)</f>
        <v>236439198.00672001</v>
      </c>
      <c r="N38" s="99">
        <f>+M38-(M38/2)</f>
        <v>118219599.00336</v>
      </c>
      <c r="O38" s="99">
        <f>+N38-(N38/1)</f>
        <v>0</v>
      </c>
    </row>
    <row r="39" spans="1:15" ht="25.5" x14ac:dyDescent="0.2">
      <c r="A39" s="17" t="str">
        <f>+[1]ESF2015!$E$12</f>
        <v>Impuestos, gravámenes, tasas</v>
      </c>
      <c r="B39" s="15">
        <f>+'[2]ESF2019-2018 (4)'!$J$17</f>
        <v>214494217</v>
      </c>
      <c r="C39" s="14">
        <f>+C40+C41+C42+C43</f>
        <v>220929043.50999999</v>
      </c>
      <c r="D39" s="14">
        <f t="shared" ref="D39:E39" si="47">+D40+D41+D42+D43</f>
        <v>227556914.81529999</v>
      </c>
      <c r="E39" s="14">
        <f t="shared" si="47"/>
        <v>234383622.25975898</v>
      </c>
      <c r="F39" s="14">
        <f>+F40+F41+F42+F43</f>
        <v>198081916.23374176</v>
      </c>
      <c r="G39" s="14">
        <f t="shared" ref="G39:J39" si="48">+G40+G41+G42+G43</f>
        <v>204024373.720754</v>
      </c>
      <c r="H39" s="14">
        <f t="shared" si="48"/>
        <v>210145104.93237662</v>
      </c>
      <c r="I39" s="14">
        <f t="shared" si="48"/>
        <v>216449458.08034793</v>
      </c>
      <c r="J39" s="14">
        <f t="shared" si="48"/>
        <v>222942941.82275838</v>
      </c>
      <c r="K39" s="14">
        <f t="shared" ref="K39:O39" si="49">+K40+K41+K42+K43</f>
        <v>229631230.07744113</v>
      </c>
      <c r="L39" s="14">
        <f t="shared" si="49"/>
        <v>236520166.97976437</v>
      </c>
      <c r="M39" s="14">
        <f t="shared" si="49"/>
        <v>243615771.98915729</v>
      </c>
      <c r="N39" s="14">
        <f t="shared" si="49"/>
        <v>250924245.14883199</v>
      </c>
      <c r="O39" s="14">
        <f t="shared" si="49"/>
        <v>258451972.50329697</v>
      </c>
    </row>
    <row r="40" spans="1:15" ht="25.5" x14ac:dyDescent="0.2">
      <c r="A40" s="18" t="str">
        <f>+[1]ESF2015!$E$13</f>
        <v>De Renta  y Complementario</v>
      </c>
      <c r="B40" s="6">
        <f>+'[2]ESF2019-2018 (4)'!$J$18</f>
        <v>38501000</v>
      </c>
      <c r="C40" s="132">
        <f t="shared" si="39"/>
        <v>39656030</v>
      </c>
      <c r="D40" s="132">
        <f t="shared" si="39"/>
        <v>40845710.899999999</v>
      </c>
      <c r="E40" s="132">
        <f t="shared" si="39"/>
        <v>42071082.226999998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</row>
    <row r="41" spans="1:15" ht="25.5" x14ac:dyDescent="0.2">
      <c r="A41" s="18" t="str">
        <f>+[1]ESF2015!$E$14</f>
        <v>De Renta para la Equidad - CREE</v>
      </c>
      <c r="B41" s="6">
        <f>+'[2]ESF2019-2018 (4)'!$J$19</f>
        <v>4543000</v>
      </c>
      <c r="C41" s="132">
        <f t="shared" si="39"/>
        <v>4679290</v>
      </c>
      <c r="D41" s="132">
        <f t="shared" si="39"/>
        <v>4819668.7</v>
      </c>
      <c r="E41" s="132">
        <f t="shared" si="39"/>
        <v>4964258.7609999999</v>
      </c>
      <c r="F41" s="7">
        <f>+E41*1.03</f>
        <v>5113186.5238300003</v>
      </c>
      <c r="G41" s="7">
        <f t="shared" ref="G41:K41" si="50">+F41*1.03</f>
        <v>5266582.1195449</v>
      </c>
      <c r="H41" s="7">
        <f t="shared" si="50"/>
        <v>5424579.5831312472</v>
      </c>
      <c r="I41" s="7">
        <f t="shared" si="50"/>
        <v>5587316.9706251845</v>
      </c>
      <c r="J41" s="7">
        <f t="shared" si="50"/>
        <v>5754936.4797439398</v>
      </c>
      <c r="K41" s="7">
        <f t="shared" si="50"/>
        <v>5927584.5741362581</v>
      </c>
      <c r="L41" s="7">
        <f t="shared" ref="L41:L44" si="51">+K41*1.03</f>
        <v>6105412.111360346</v>
      </c>
      <c r="M41" s="7">
        <f t="shared" ref="M41:M44" si="52">+L41*1.03</f>
        <v>6288574.4747011568</v>
      </c>
      <c r="N41" s="7">
        <f t="shared" ref="N41:N44" si="53">+M41*1.03</f>
        <v>6477231.7089421917</v>
      </c>
      <c r="O41" s="7">
        <f t="shared" ref="O41:O44" si="54">+N41*1.03</f>
        <v>6671548.6602104576</v>
      </c>
    </row>
    <row r="42" spans="1:15" ht="25.5" x14ac:dyDescent="0.2">
      <c r="A42" s="18" t="str">
        <f>+'[1]ESF2018-2017 (3)'!$G$18</f>
        <v>Impuesto Ganancia Ocasional</v>
      </c>
      <c r="B42" s="6">
        <f>+'[2]ESF2019-2018 (4)'!$J$20</f>
        <v>11884000</v>
      </c>
      <c r="C42" s="132">
        <f t="shared" si="39"/>
        <v>12240520</v>
      </c>
      <c r="D42" s="132">
        <f t="shared" si="39"/>
        <v>12607735.6</v>
      </c>
      <c r="E42" s="132">
        <f t="shared" si="39"/>
        <v>12985967.668</v>
      </c>
      <c r="F42" s="7">
        <f t="shared" si="39"/>
        <v>13375546.698039999</v>
      </c>
      <c r="G42" s="7">
        <f t="shared" ref="G42:K42" si="55">+F42*1.03</f>
        <v>13776813.0989812</v>
      </c>
      <c r="H42" s="7">
        <f t="shared" si="55"/>
        <v>14190117.491950637</v>
      </c>
      <c r="I42" s="7">
        <f t="shared" si="55"/>
        <v>14615821.016709156</v>
      </c>
      <c r="J42" s="7">
        <f t="shared" si="55"/>
        <v>15054295.647210432</v>
      </c>
      <c r="K42" s="7">
        <f t="shared" si="55"/>
        <v>15505924.516626745</v>
      </c>
      <c r="L42" s="7">
        <f t="shared" si="51"/>
        <v>15971102.252125548</v>
      </c>
      <c r="M42" s="7">
        <f t="shared" si="52"/>
        <v>16450235.319689315</v>
      </c>
      <c r="N42" s="7">
        <f t="shared" si="53"/>
        <v>16943742.379279993</v>
      </c>
      <c r="O42" s="7">
        <f t="shared" si="54"/>
        <v>17452054.650658395</v>
      </c>
    </row>
    <row r="43" spans="1:15" ht="25.5" x14ac:dyDescent="0.2">
      <c r="A43" s="18" t="str">
        <f>+'[2]ESF2019-2018 (4)'!$G$21</f>
        <v>Impuesto a la Propiedad Raiz</v>
      </c>
      <c r="B43" s="6">
        <f>+'[2]ESF2019-2018 (4)'!$J$21</f>
        <v>159566217</v>
      </c>
      <c r="C43" s="132">
        <f t="shared" si="39"/>
        <v>164353203.50999999</v>
      </c>
      <c r="D43" s="132">
        <f t="shared" si="39"/>
        <v>169283799.6153</v>
      </c>
      <c r="E43" s="132">
        <f t="shared" si="39"/>
        <v>174362313.60375899</v>
      </c>
      <c r="F43" s="133">
        <f t="shared" si="39"/>
        <v>179593183.01187176</v>
      </c>
      <c r="G43" s="133">
        <f t="shared" ref="G43:K43" si="56">+F43*1.03</f>
        <v>184980978.5022279</v>
      </c>
      <c r="H43" s="133">
        <f t="shared" si="56"/>
        <v>190530407.85729474</v>
      </c>
      <c r="I43" s="133">
        <f t="shared" si="56"/>
        <v>196246320.09301358</v>
      </c>
      <c r="J43" s="133">
        <f t="shared" si="56"/>
        <v>202133709.695804</v>
      </c>
      <c r="K43" s="133">
        <f t="shared" si="56"/>
        <v>208197720.98667812</v>
      </c>
      <c r="L43" s="133">
        <f t="shared" si="51"/>
        <v>214443652.61627847</v>
      </c>
      <c r="M43" s="133">
        <f t="shared" si="52"/>
        <v>220876962.19476682</v>
      </c>
      <c r="N43" s="133">
        <f t="shared" si="53"/>
        <v>227503271.06060982</v>
      </c>
      <c r="O43" s="133">
        <f t="shared" si="54"/>
        <v>234328369.19242811</v>
      </c>
    </row>
    <row r="44" spans="1:15" ht="25.5" x14ac:dyDescent="0.2">
      <c r="A44" s="18" t="str">
        <f>+'[2]ESF2019-2018 (4)'!$G$22</f>
        <v>Beneficios a los Empleados</v>
      </c>
      <c r="B44" s="6">
        <f>+'[2]ESF2019-2018 (4)'!$J$22</f>
        <v>3033622</v>
      </c>
      <c r="C44" s="132">
        <f t="shared" si="39"/>
        <v>3124630.66</v>
      </c>
      <c r="D44" s="132">
        <f t="shared" si="39"/>
        <v>3218369.5798000004</v>
      </c>
      <c r="E44" s="132">
        <f t="shared" si="39"/>
        <v>3314920.6671940004</v>
      </c>
      <c r="F44" s="7">
        <f t="shared" si="39"/>
        <v>3414368.2872098205</v>
      </c>
      <c r="G44" s="7">
        <f t="shared" ref="G44:K44" si="57">+F44*1.03</f>
        <v>3516799.3358261152</v>
      </c>
      <c r="H44" s="7">
        <f t="shared" si="57"/>
        <v>3622303.3159008985</v>
      </c>
      <c r="I44" s="7">
        <f t="shared" si="57"/>
        <v>3730972.4153779256</v>
      </c>
      <c r="J44" s="7">
        <f t="shared" si="57"/>
        <v>3842901.5878392635</v>
      </c>
      <c r="K44" s="7">
        <f t="shared" si="57"/>
        <v>3958188.6354744416</v>
      </c>
      <c r="L44" s="7">
        <f t="shared" si="51"/>
        <v>4076934.2945386749</v>
      </c>
      <c r="M44" s="7">
        <f t="shared" si="52"/>
        <v>4199242.3233748348</v>
      </c>
      <c r="N44" s="7">
        <f t="shared" si="53"/>
        <v>4325219.5930760801</v>
      </c>
      <c r="O44" s="7">
        <f t="shared" si="54"/>
        <v>4454976.180868363</v>
      </c>
    </row>
    <row r="45" spans="1:15" ht="25.5" x14ac:dyDescent="0.2">
      <c r="A45" s="17" t="str">
        <f>+[1]ESF2015!$E$15</f>
        <v>Total del pasivo corriente</v>
      </c>
      <c r="B45" s="15">
        <f>+'[2]ESF2019-2018 (4)'!$J$24</f>
        <v>2221757432</v>
      </c>
      <c r="C45" s="14">
        <f>+C32+C39+C44</f>
        <v>2288410154.96</v>
      </c>
      <c r="D45" s="14">
        <f t="shared" ref="D45:E45" si="58">+D32+D39+D44</f>
        <v>2357062459.6088004</v>
      </c>
      <c r="E45" s="14">
        <f t="shared" si="58"/>
        <v>2427774333.3970637</v>
      </c>
      <c r="F45" s="14">
        <f>+F32+F39+F44</f>
        <v>1953556916.8970401</v>
      </c>
      <c r="G45" s="14">
        <f t="shared" ref="G45:J45" si="59">+G32+G39+G44</f>
        <v>1521586647.3386464</v>
      </c>
      <c r="H45" s="14">
        <f t="shared" si="59"/>
        <v>1089797724.4363217</v>
      </c>
      <c r="I45" s="14">
        <f t="shared" si="59"/>
        <v>658195588.58974802</v>
      </c>
      <c r="J45" s="14">
        <f t="shared" si="59"/>
        <v>226785843.41059765</v>
      </c>
      <c r="K45" s="14">
        <f t="shared" ref="K45:O45" si="60">+K32+K39+K44</f>
        <v>233589418.71291557</v>
      </c>
      <c r="L45" s="14">
        <f t="shared" si="60"/>
        <v>240597101.27430305</v>
      </c>
      <c r="M45" s="14">
        <f t="shared" si="60"/>
        <v>247815014.31253213</v>
      </c>
      <c r="N45" s="14">
        <f t="shared" si="60"/>
        <v>255249464.74190807</v>
      </c>
      <c r="O45" s="14">
        <f t="shared" si="60"/>
        <v>262906948.68416533</v>
      </c>
    </row>
    <row r="46" spans="1:15" x14ac:dyDescent="0.2">
      <c r="A46" s="150" t="s">
        <v>2</v>
      </c>
      <c r="B46" s="6"/>
      <c r="C46" s="132">
        <f t="shared" si="39"/>
        <v>0</v>
      </c>
      <c r="D46" s="132">
        <f t="shared" si="39"/>
        <v>0</v>
      </c>
      <c r="E46" s="132">
        <f t="shared" si="39"/>
        <v>0</v>
      </c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">
      <c r="A47" s="17" t="str">
        <f>+[1]ESF2015!$E$17</f>
        <v>Diferidos</v>
      </c>
      <c r="B47" s="15">
        <f>+'[2]ESF2019-2018 (4)'!$J$28</f>
        <v>1114725386</v>
      </c>
      <c r="C47" s="130">
        <f t="shared" si="39"/>
        <v>1148167147.5799999</v>
      </c>
      <c r="D47" s="130">
        <f t="shared" si="39"/>
        <v>1182612162.0074</v>
      </c>
      <c r="E47" s="130">
        <f t="shared" si="39"/>
        <v>1218090526.8676221</v>
      </c>
      <c r="F47" s="14">
        <f>+E47*1.03</f>
        <v>1254633242.6736507</v>
      </c>
      <c r="G47" s="14">
        <f t="shared" ref="G47:K47" si="61">+F47*1.03</f>
        <v>1292272239.9538603</v>
      </c>
      <c r="H47" s="14">
        <f t="shared" si="61"/>
        <v>1331040407.1524761</v>
      </c>
      <c r="I47" s="14">
        <f t="shared" si="61"/>
        <v>1370971619.3670504</v>
      </c>
      <c r="J47" s="14">
        <f t="shared" si="61"/>
        <v>1412100767.9480619</v>
      </c>
      <c r="K47" s="14">
        <f t="shared" si="61"/>
        <v>1454463790.9865038</v>
      </c>
      <c r="L47" s="14">
        <f t="shared" ref="L47:L49" si="62">+K47*1.03</f>
        <v>1498097704.716099</v>
      </c>
      <c r="M47" s="14">
        <f t="shared" ref="M47:M49" si="63">+L47*1.03</f>
        <v>1543040635.8575821</v>
      </c>
      <c r="N47" s="14">
        <f t="shared" ref="N47:N49" si="64">+M47*1.03</f>
        <v>1589331854.9333096</v>
      </c>
      <c r="O47" s="14">
        <f t="shared" ref="O47:O49" si="65">+N47*1.03</f>
        <v>1637011810.5813088</v>
      </c>
    </row>
    <row r="48" spans="1:15" x14ac:dyDescent="0.2">
      <c r="A48" s="18" t="str">
        <f>+[1]ESF2015!$E$18</f>
        <v>Impuesto diferido</v>
      </c>
      <c r="B48" s="6">
        <f>+'[2]ESF2019-2018 (4)'!$J$29</f>
        <v>1114725386</v>
      </c>
      <c r="C48" s="132">
        <f t="shared" si="39"/>
        <v>1148167147.5799999</v>
      </c>
      <c r="D48" s="132">
        <f t="shared" si="39"/>
        <v>1182612162.0074</v>
      </c>
      <c r="E48" s="132">
        <f t="shared" si="39"/>
        <v>1218090526.8676221</v>
      </c>
      <c r="F48" s="7">
        <f>+E48*1.03</f>
        <v>1254633242.6736507</v>
      </c>
      <c r="G48" s="7">
        <f t="shared" ref="G48:K48" si="66">+F48*1.03</f>
        <v>1292272239.9538603</v>
      </c>
      <c r="H48" s="7">
        <f t="shared" si="66"/>
        <v>1331040407.1524761</v>
      </c>
      <c r="I48" s="7">
        <f t="shared" si="66"/>
        <v>1370971619.3670504</v>
      </c>
      <c r="J48" s="7">
        <f t="shared" si="66"/>
        <v>1412100767.9480619</v>
      </c>
      <c r="K48" s="7">
        <f t="shared" si="66"/>
        <v>1454463790.9865038</v>
      </c>
      <c r="L48" s="7">
        <f t="shared" si="62"/>
        <v>1498097704.716099</v>
      </c>
      <c r="M48" s="7">
        <f t="shared" si="63"/>
        <v>1543040635.8575821</v>
      </c>
      <c r="N48" s="7">
        <f t="shared" si="64"/>
        <v>1589331854.9333096</v>
      </c>
      <c r="O48" s="7">
        <f t="shared" si="65"/>
        <v>1637011810.5813088</v>
      </c>
    </row>
    <row r="49" spans="1:15" ht="25.5" x14ac:dyDescent="0.2">
      <c r="A49" s="18" t="str">
        <f>+'[1]ESF2016-2015'!$G$23</f>
        <v>Anticipo y avances recibidos</v>
      </c>
      <c r="B49" s="6">
        <f>+'[2]ESF2019-2018 (4)'!$J$31</f>
        <v>8642627</v>
      </c>
      <c r="C49" s="132">
        <f t="shared" si="39"/>
        <v>8901905.8100000005</v>
      </c>
      <c r="D49" s="132">
        <f t="shared" si="39"/>
        <v>9168962.9843000006</v>
      </c>
      <c r="E49" s="132">
        <f t="shared" si="39"/>
        <v>9444031.8738290016</v>
      </c>
      <c r="F49" s="7">
        <f>+E49*1.03</f>
        <v>9727352.830043871</v>
      </c>
      <c r="G49" s="7">
        <f t="shared" ref="G49:K49" si="67">+F49*1.03</f>
        <v>10019173.414945187</v>
      </c>
      <c r="H49" s="7">
        <f t="shared" si="67"/>
        <v>10319748.617393542</v>
      </c>
      <c r="I49" s="7">
        <f t="shared" si="67"/>
        <v>10629341.075915348</v>
      </c>
      <c r="J49" s="7">
        <f t="shared" si="67"/>
        <v>10948221.308192808</v>
      </c>
      <c r="K49" s="7">
        <f t="shared" si="67"/>
        <v>11276667.947438592</v>
      </c>
      <c r="L49" s="7">
        <f t="shared" si="62"/>
        <v>11614967.98586175</v>
      </c>
      <c r="M49" s="7">
        <f t="shared" si="63"/>
        <v>11963417.025437603</v>
      </c>
      <c r="N49" s="7">
        <f t="shared" si="64"/>
        <v>12322319.536200732</v>
      </c>
      <c r="O49" s="7">
        <f t="shared" si="65"/>
        <v>12691989.122286754</v>
      </c>
    </row>
    <row r="50" spans="1:15" ht="25.5" x14ac:dyDescent="0.2">
      <c r="A50" s="17" t="str">
        <f>+[1]ESF2015!$E$19</f>
        <v>Total pasivos no corriente</v>
      </c>
      <c r="B50" s="15">
        <f>+'[2]ESF2019-2018 (4)'!$J$32</f>
        <v>1123368013</v>
      </c>
      <c r="C50" s="15">
        <f>SUM(C48:C49)</f>
        <v>1157069053.3899999</v>
      </c>
      <c r="D50" s="15">
        <f t="shared" ref="D50:E50" si="68">SUM(D48:D49)</f>
        <v>1191781124.9916999</v>
      </c>
      <c r="E50" s="15">
        <f t="shared" si="68"/>
        <v>1227534558.741451</v>
      </c>
      <c r="F50" s="15">
        <f>SUM(F48:F49)</f>
        <v>1264360595.5036945</v>
      </c>
      <c r="G50" s="15">
        <f t="shared" ref="G50:J50" si="69">SUM(G48:G49)</f>
        <v>1302291413.3688054</v>
      </c>
      <c r="H50" s="15">
        <f t="shared" si="69"/>
        <v>1341360155.7698696</v>
      </c>
      <c r="I50" s="15">
        <f t="shared" si="69"/>
        <v>1381600960.4429657</v>
      </c>
      <c r="J50" s="15">
        <f t="shared" si="69"/>
        <v>1423048989.2562547</v>
      </c>
      <c r="K50" s="15">
        <f t="shared" ref="K50:O50" si="70">SUM(K48:K49)</f>
        <v>1465740458.9339423</v>
      </c>
      <c r="L50" s="15">
        <f t="shared" si="70"/>
        <v>1509712672.7019608</v>
      </c>
      <c r="M50" s="15">
        <f t="shared" si="70"/>
        <v>1555004052.8830197</v>
      </c>
      <c r="N50" s="15">
        <f t="shared" si="70"/>
        <v>1601654174.4695103</v>
      </c>
      <c r="O50" s="15">
        <f t="shared" si="70"/>
        <v>1649703799.7035956</v>
      </c>
    </row>
    <row r="51" spans="1:15" x14ac:dyDescent="0.2">
      <c r="A51" s="17"/>
      <c r="B51" s="15"/>
      <c r="C51" s="132">
        <f t="shared" si="39"/>
        <v>0</v>
      </c>
      <c r="D51" s="132">
        <f t="shared" si="39"/>
        <v>0</v>
      </c>
      <c r="E51" s="132">
        <f t="shared" si="39"/>
        <v>0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1" t="s">
        <v>5</v>
      </c>
      <c r="B52" s="129">
        <f>+'[2]ESF2019-2018 (4)'!$J$34</f>
        <v>3345125445</v>
      </c>
      <c r="C52" s="129">
        <f>+C45+C50</f>
        <v>3445479208.3499999</v>
      </c>
      <c r="D52" s="129">
        <f t="shared" ref="D52:E52" si="71">+D45+D50</f>
        <v>3548843584.6005001</v>
      </c>
      <c r="E52" s="129">
        <f t="shared" si="71"/>
        <v>3655308892.1385145</v>
      </c>
      <c r="F52" s="129">
        <f>+F45+F50</f>
        <v>3217917512.4007349</v>
      </c>
      <c r="G52" s="129">
        <f t="shared" ref="G52:J52" si="72">+G45+G50</f>
        <v>2823878060.7074518</v>
      </c>
      <c r="H52" s="129">
        <f t="shared" si="72"/>
        <v>2431157880.2061911</v>
      </c>
      <c r="I52" s="129">
        <f t="shared" si="72"/>
        <v>2039796549.0327139</v>
      </c>
      <c r="J52" s="129">
        <f t="shared" si="72"/>
        <v>1649834832.6668522</v>
      </c>
      <c r="K52" s="129">
        <f t="shared" ref="K52:O52" si="73">+K45+K50</f>
        <v>1699329877.646858</v>
      </c>
      <c r="L52" s="129">
        <f t="shared" si="73"/>
        <v>1750309773.9762638</v>
      </c>
      <c r="M52" s="129">
        <f t="shared" si="73"/>
        <v>1802819067.1955519</v>
      </c>
      <c r="N52" s="129">
        <f t="shared" si="73"/>
        <v>1856903639.2114184</v>
      </c>
      <c r="O52" s="129">
        <f t="shared" si="73"/>
        <v>1912610748.3877609</v>
      </c>
    </row>
    <row r="53" spans="1:15" x14ac:dyDescent="0.2">
      <c r="A53" s="18"/>
      <c r="B53" s="6"/>
      <c r="C53" s="132">
        <f t="shared" si="39"/>
        <v>0</v>
      </c>
      <c r="D53" s="132">
        <f t="shared" si="39"/>
        <v>0</v>
      </c>
      <c r="E53" s="132">
        <f t="shared" si="39"/>
        <v>0</v>
      </c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25.5" x14ac:dyDescent="0.2">
      <c r="A54" s="149" t="s">
        <v>6</v>
      </c>
      <c r="B54" s="6"/>
      <c r="C54" s="132">
        <f t="shared" si="39"/>
        <v>0</v>
      </c>
      <c r="D54" s="132">
        <f t="shared" si="39"/>
        <v>0</v>
      </c>
      <c r="E54" s="132">
        <f t="shared" si="39"/>
        <v>0</v>
      </c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25.5" x14ac:dyDescent="0.2">
      <c r="A55" s="151" t="s">
        <v>49</v>
      </c>
      <c r="B55" s="129">
        <f>+'[2]ESF2019-2018 (4)'!$J$46</f>
        <v>9969440346</v>
      </c>
      <c r="C55" s="129">
        <f>+C57-C52</f>
        <v>10268523556.379999</v>
      </c>
      <c r="D55" s="129">
        <f t="shared" ref="D55:E55" si="74">+D57-D52</f>
        <v>10576579263.0714</v>
      </c>
      <c r="E55" s="129">
        <f t="shared" si="74"/>
        <v>10893876640.963543</v>
      </c>
      <c r="F55" s="129">
        <f>+F57-F52</f>
        <v>9154540361.4121513</v>
      </c>
      <c r="G55" s="129">
        <f t="shared" ref="G55:J55" si="75">+G57-G52</f>
        <v>9472382224.03759</v>
      </c>
      <c r="H55" s="129">
        <f t="shared" si="75"/>
        <v>9867809487.7989693</v>
      </c>
      <c r="I55" s="129">
        <f t="shared" si="75"/>
        <v>10162862094.73037</v>
      </c>
      <c r="J55" s="129">
        <f t="shared" si="75"/>
        <v>10568849745.12689</v>
      </c>
      <c r="K55" s="129">
        <f t="shared" ref="K55:O55" si="76">+K57-K52</f>
        <v>10794269957.4807</v>
      </c>
      <c r="L55" s="129">
        <f t="shared" si="76"/>
        <v>11118098056.205122</v>
      </c>
      <c r="M55" s="129">
        <f t="shared" si="76"/>
        <v>11451640997.891273</v>
      </c>
      <c r="N55" s="129">
        <f t="shared" si="76"/>
        <v>11795190227.828012</v>
      </c>
      <c r="O55" s="129">
        <f t="shared" si="76"/>
        <v>12149045934.662855</v>
      </c>
    </row>
    <row r="56" spans="1:15" x14ac:dyDescent="0.2">
      <c r="A56" s="18"/>
      <c r="B56" s="6"/>
      <c r="C56" s="132">
        <f t="shared" si="39"/>
        <v>0</v>
      </c>
      <c r="D56" s="132">
        <f t="shared" si="39"/>
        <v>0</v>
      </c>
      <c r="E56" s="132">
        <f t="shared" si="39"/>
        <v>0</v>
      </c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25.5" x14ac:dyDescent="0.2">
      <c r="A57" s="151" t="s">
        <v>119</v>
      </c>
      <c r="B57" s="129">
        <f>+'[2]ESF2019-2018 (4)'!$J$48</f>
        <v>13314565791</v>
      </c>
      <c r="C57" s="130">
        <f t="shared" si="39"/>
        <v>13714002764.73</v>
      </c>
      <c r="D57" s="130">
        <f t="shared" si="39"/>
        <v>14125422847.6719</v>
      </c>
      <c r="E57" s="130">
        <f t="shared" si="39"/>
        <v>14549185533.102057</v>
      </c>
      <c r="F57" s="129">
        <f>+F27</f>
        <v>12372457873.812887</v>
      </c>
      <c r="G57" s="129">
        <f t="shared" ref="G57:J57" si="77">+G27</f>
        <v>12296260284.745041</v>
      </c>
      <c r="H57" s="129">
        <f t="shared" si="77"/>
        <v>12298967368.005161</v>
      </c>
      <c r="I57" s="129">
        <f t="shared" si="77"/>
        <v>12202658643.763083</v>
      </c>
      <c r="J57" s="129">
        <f t="shared" si="77"/>
        <v>12218684577.793743</v>
      </c>
      <c r="K57" s="129">
        <f t="shared" ref="K57:O57" si="78">+K27</f>
        <v>12493599835.127558</v>
      </c>
      <c r="L57" s="129">
        <f t="shared" si="78"/>
        <v>12868407830.181385</v>
      </c>
      <c r="M57" s="129">
        <f t="shared" si="78"/>
        <v>13254460065.086826</v>
      </c>
      <c r="N57" s="129">
        <f t="shared" si="78"/>
        <v>13652093867.039431</v>
      </c>
      <c r="O57" s="129">
        <f t="shared" si="78"/>
        <v>14061656683.050615</v>
      </c>
    </row>
    <row r="58" spans="1:15" x14ac:dyDescent="0.2">
      <c r="B58" s="21"/>
      <c r="C58" s="21"/>
      <c r="D58" s="21"/>
      <c r="E58" s="21"/>
      <c r="F58" s="21"/>
      <c r="G58" s="21"/>
      <c r="H58" s="21"/>
      <c r="I58" s="21"/>
    </row>
    <row r="67" ht="24.75" customHeight="1" x14ac:dyDescent="0.2"/>
    <row r="68" ht="46.5" customHeight="1" x14ac:dyDescent="0.2"/>
    <row r="70" ht="26.25" customHeight="1" x14ac:dyDescent="0.2"/>
  </sheetData>
  <mergeCells count="1">
    <mergeCell ref="A1:O1"/>
  </mergeCells>
  <phoneticPr fontId="5" type="noConversion"/>
  <pageMargins left="0.7" right="0.7" top="0.75" bottom="0.75" header="0.3" footer="0.3"/>
  <pageSetup paperSize="5" scale="63" fitToHeight="0" orientation="landscape" horizontalDpi="200" verticalDpi="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46C6-4401-4FA8-86C9-2C5574FFC02D}">
  <sheetPr>
    <tabColor rgb="FF00B0F0"/>
  </sheetPr>
  <dimension ref="A1:O5"/>
  <sheetViews>
    <sheetView showGridLines="0" workbookViewId="0">
      <selection activeCell="J10" sqref="J10"/>
    </sheetView>
  </sheetViews>
  <sheetFormatPr baseColWidth="10" defaultRowHeight="15" x14ac:dyDescent="0.25"/>
  <cols>
    <col min="1" max="1" width="17.28515625" bestFit="1" customWidth="1"/>
    <col min="2" max="2" width="15.5703125" bestFit="1" customWidth="1"/>
    <col min="3" max="5" width="15.42578125" hidden="1" customWidth="1"/>
    <col min="6" max="10" width="15.42578125" bestFit="1" customWidth="1"/>
    <col min="11" max="15" width="13.85546875" bestFit="1" customWidth="1"/>
  </cols>
  <sheetData>
    <row r="1" spans="1:15" s="21" customFormat="1" ht="51" customHeight="1" x14ac:dyDescent="0.25">
      <c r="A1" s="164" t="s">
        <v>164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5" s="21" customFormat="1" ht="21.7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 x14ac:dyDescent="0.25">
      <c r="A3" s="160"/>
      <c r="B3" s="157" t="s">
        <v>57</v>
      </c>
      <c r="C3" s="158" t="s">
        <v>129</v>
      </c>
      <c r="D3" s="157" t="s">
        <v>130</v>
      </c>
      <c r="E3" s="158" t="s">
        <v>131</v>
      </c>
      <c r="F3" s="157" t="s">
        <v>132</v>
      </c>
      <c r="G3" s="158" t="s">
        <v>133</v>
      </c>
      <c r="H3" s="157" t="s">
        <v>143</v>
      </c>
      <c r="I3" s="158" t="s">
        <v>144</v>
      </c>
      <c r="J3" s="157" t="s">
        <v>145</v>
      </c>
      <c r="K3" s="158" t="s">
        <v>146</v>
      </c>
      <c r="L3" s="157" t="s">
        <v>147</v>
      </c>
      <c r="M3" s="158" t="s">
        <v>148</v>
      </c>
      <c r="N3" s="157" t="s">
        <v>149</v>
      </c>
      <c r="O3" s="158" t="s">
        <v>150</v>
      </c>
    </row>
    <row r="4" spans="1:15" x14ac:dyDescent="0.25">
      <c r="A4" s="161" t="s">
        <v>162</v>
      </c>
      <c r="B4" s="162">
        <v>2015367875</v>
      </c>
      <c r="C4" s="159">
        <f t="shared" ref="C4:E4" si="0">+B4*1.03</f>
        <v>2075828911.25</v>
      </c>
      <c r="D4" s="159">
        <f t="shared" si="0"/>
        <v>2138103778.5875001</v>
      </c>
      <c r="E4" s="159">
        <f t="shared" si="0"/>
        <v>2202246891.9451251</v>
      </c>
      <c r="F4" s="159">
        <f>+B4-(B4/10)</f>
        <v>1813831087.5</v>
      </c>
      <c r="G4" s="159">
        <f>+F4-(F4/9)</f>
        <v>1612294300</v>
      </c>
      <c r="H4" s="159">
        <f>+G4-(G4/8)</f>
        <v>1410757512.5</v>
      </c>
      <c r="I4" s="159">
        <f>+H4-(H4/7)</f>
        <v>1209220725</v>
      </c>
      <c r="J4" s="159">
        <f>+I4-(I4/6)</f>
        <v>1007683937.5</v>
      </c>
      <c r="K4" s="159">
        <f>+J4-(J4/5)</f>
        <v>806147150</v>
      </c>
      <c r="L4" s="159">
        <f>+K4-(K4/4)</f>
        <v>604610362.5</v>
      </c>
      <c r="M4" s="159">
        <f>+L4-(L4/3)</f>
        <v>403073575</v>
      </c>
      <c r="N4" s="159">
        <f>+M4-(M4/2)</f>
        <v>201536787.5</v>
      </c>
      <c r="O4" s="159">
        <f>+N4-(N4/1)</f>
        <v>0</v>
      </c>
    </row>
    <row r="5" spans="1:15" x14ac:dyDescent="0.25">
      <c r="A5" s="161" t="s">
        <v>163</v>
      </c>
      <c r="B5" s="162">
        <v>0</v>
      </c>
      <c r="C5" s="163"/>
      <c r="D5" s="163"/>
      <c r="E5" s="163"/>
      <c r="F5" s="159">
        <f>+(B4/10)</f>
        <v>201536787.5</v>
      </c>
      <c r="G5" s="159">
        <f>+(F4/9)</f>
        <v>201536787.5</v>
      </c>
      <c r="H5" s="159">
        <f>+(G4/8)</f>
        <v>201536787.5</v>
      </c>
      <c r="I5" s="159">
        <f>+(H4/7)</f>
        <v>201536787.5</v>
      </c>
      <c r="J5" s="159">
        <f>+(I4/6)</f>
        <v>201536787.5</v>
      </c>
      <c r="K5" s="159">
        <f>+(J4/5)</f>
        <v>201536787.5</v>
      </c>
      <c r="L5" s="159">
        <f>+(K4/4)</f>
        <v>201536787.5</v>
      </c>
      <c r="M5" s="159">
        <f>+(L4/3)</f>
        <v>201536787.5</v>
      </c>
      <c r="N5" s="159">
        <f>+(M4/2)</f>
        <v>201536787.5</v>
      </c>
      <c r="O5" s="159">
        <f>+(N4/1)</f>
        <v>201536787.5</v>
      </c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Portada</vt:lpstr>
      <vt:lpstr>1.Balances Generales</vt:lpstr>
      <vt:lpstr>2.Estado de resultados</vt:lpstr>
      <vt:lpstr>3.Indicadores Financieros</vt:lpstr>
      <vt:lpstr>4.Estado de Fuentes y Ap.</vt:lpstr>
      <vt:lpstr>5.Balances Comparativos</vt:lpstr>
      <vt:lpstr>6.Estados de Resultados Comp</vt:lpstr>
      <vt:lpstr>7.Balances Proyectados</vt:lpstr>
      <vt:lpstr>8.Pago Acreedores</vt:lpstr>
      <vt:lpstr>9.Estado de resultados Proy.</vt:lpstr>
      <vt:lpstr>10. Flujo de caja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2019-10-26T23:12:37Z</cp:lastPrinted>
  <dcterms:created xsi:type="dcterms:W3CDTF">2012-10-29T21:05:44Z</dcterms:created>
  <dcterms:modified xsi:type="dcterms:W3CDTF">2020-01-16T19:21:11Z</dcterms:modified>
</cp:coreProperties>
</file>